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ar à Nic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'Var à Nice'!$A$1:$Q$82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'Var à Nice'!$A$1:$C$1415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<sst xmlns="http://schemas.openxmlformats.org/spreadsheetml/2006/main" count="9993" uniqueCount="3493">
  <si>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</si>
  <si>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</si>
  <si>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</si>
  <si>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</si>
  <si>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</si>
  <si>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</si>
  <si>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</si>
  <si>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</si>
  <si>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</si>
  <si>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</si>
  <si>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</si>
  <si>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</si>
  <si>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</si>
  <si>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</si>
  <si>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</si>
  <si>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</si>
  <si>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</si>
  <si>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</si>
  <si>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</si>
  <si>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</si>
  <si>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</si>
  <si>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</si>
  <si>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</si>
  <si>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</si>
  <si>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</si>
  <si>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</si>
  <si>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</si>
  <si>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</si>
  <si>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</si>
  <si>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</si>
  <si>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</si>
  <si>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</si>
  <si>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</si>
  <si>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</si>
  <si>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</si>
  <si>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</si>
  <si>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</si>
  <si>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</si>
  <si>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</si>
  <si>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</si>
  <si>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</si>
  <si>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</si>
  <si>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</si>
  <si>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</si>
  <si>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</si>
  <si>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</si>
  <si>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</si>
  <si>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</si>
  <si>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</si>
  <si>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</si>
  <si>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</si>
  <si>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</si>
  <si>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</si>
  <si>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</si>
  <si>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</si>
  <si>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</si>
  <si>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</si>
  <si>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</si>
  <si>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</si>
  <si>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</si>
  <si>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</si>
  <si>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</si>
  <si>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</si>
  <si>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</si>
  <si>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</si>
  <si>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</si>
  <si>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</si>
  <si>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</si>
  <si>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</si>
  <si>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</si>
  <si>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</si>
  <si>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</si>
  <si>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</si>
  <si>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</si>
  <si>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</si>
  <si>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</si>
  <si>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</si>
  <si>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</si>
  <si>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</si>
  <si>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</si>
  <si>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</si>
  <si>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</si>
  <si>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</si>
  <si>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</si>
  <si>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</si>
  <si>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</si>
  <si>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</si>
  <si>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</si>
  <si>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</si>
  <si>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</si>
  <si>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</si>
  <si>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</si>
  <si>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</si>
  <si>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</si>
  <si>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</si>
  <si>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</si>
  <si>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</si>
  <si>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</si>
  <si>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</si>
  <si>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</si>
  <si>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</si>
  <si>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</si>
  <si>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</si>
  <si>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</si>
  <si>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</si>
  <si>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</si>
  <si>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</si>
  <si>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</si>
  <si>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</si>
  <si>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</si>
  <si>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</si>
  <si>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</si>
  <si>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</si>
  <si>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</si>
  <si>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</si>
  <si>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</si>
  <si>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</si>
  <si>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</si>
  <si>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</si>
  <si>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</si>
  <si>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</si>
  <si>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</si>
  <si>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</si>
  <si>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</si>
  <si>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</si>
  <si>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</si>
  <si>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</si>
  <si>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</si>
  <si>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</si>
  <si>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</si>
  <si>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</si>
  <si>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</si>
  <si>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</si>
  <si>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</si>
  <si>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</si>
  <si>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</si>
  <si>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</si>
  <si>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</si>
  <si>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</si>
  <si>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</si>
  <si>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</si>
  <si>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</si>
  <si>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</si>
  <si>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</si>
  <si>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</si>
  <si>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</si>
  <si>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</si>
  <si>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</si>
  <si>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</si>
  <si>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</si>
  <si>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</si>
  <si>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</si>
  <si>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</si>
  <si>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</si>
  <si>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</si>
  <si>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</si>
  <si>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</si>
  <si>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</si>
  <si>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</si>
  <si>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</si>
  <si>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</si>
  <si>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</si>
  <si>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</si>
  <si>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</si>
  <si>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</si>
  <si>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</si>
  <si>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</si>
  <si>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</si>
  <si>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</si>
  <si>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</si>
  <si>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</si>
  <si>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</si>
  <si>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</si>
  <si>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</si>
  <si>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</si>
  <si>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</si>
  <si>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</si>
  <si>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</si>
  <si>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</si>
  <si>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</si>
  <si>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</si>
  <si>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</si>
  <si>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</si>
  <si>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</si>
  <si>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</si>
  <si>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</si>
  <si>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</si>
  <si>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</si>
  <si>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</si>
  <si>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</si>
  <si>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</si>
  <si>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</si>
  <si>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</si>
  <si>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</si>
  <si>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</si>
  <si>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</si>
  <si>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</si>
  <si>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</si>
  <si>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</si>
  <si>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</si>
  <si>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</si>
  <si>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</si>
  <si>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</si>
  <si>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</si>
  <si>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</si>
  <si>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</si>
  <si>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</si>
  <si>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</si>
  <si>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</si>
  <si>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</si>
  <si>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</si>
  <si>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</si>
  <si>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</si>
  <si>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</si>
  <si>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</si>
  <si>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</si>
  <si>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</si>
  <si>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</si>
  <si>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</si>
  <si>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</si>
  <si>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</si>
  <si>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</si>
  <si>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</si>
  <si>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</si>
  <si>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</si>
  <si>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</si>
  <si>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</si>
  <si>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</si>
  <si>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</si>
  <si>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</si>
  <si>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</si>
  <si>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</si>
  <si>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</si>
  <si>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</si>
  <si>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</si>
  <si>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</si>
  <si>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</si>
  <si>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</si>
  <si>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</si>
  <si>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</si>
  <si>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</si>
  <si>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</si>
  <si>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</si>
  <si>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</si>
  <si>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</si>
  <si>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</si>
  <si>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</si>
  <si>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</si>
  <si>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</si>
  <si>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</si>
  <si>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</si>
  <si>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</si>
  <si>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</si>
  <si>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</si>
  <si>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</si>
  <si>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</si>
  <si>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</si>
  <si>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</si>
  <si>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</si>
  <si>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</si>
  <si>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</si>
  <si>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</si>
  <si>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</si>
  <si>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</si>
  <si>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</si>
  <si>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</si>
  <si>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</si>
  <si>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</si>
  <si>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</si>
  <si>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</si>
  <si>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</si>
  <si>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</si>
  <si>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</si>
  <si>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</si>
  <si>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</si>
  <si>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</si>
  <si>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</si>
  <si>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</si>
  <si>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</si>
  <si>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</si>
  <si>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</si>
  <si>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</si>
  <si>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</si>
  <si>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</si>
  <si>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</si>
  <si>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</si>
  <si>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</si>
  <si>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</si>
  <si>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</si>
  <si>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</si>
  <si>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</si>
  <si>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</si>
  <si>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</si>
  <si>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</si>
  <si>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</si>
  <si>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</si>
  <si>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</si>
  <si>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</si>
  <si>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</si>
  <si>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</si>
  <si>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</si>
  <si>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</si>
  <si>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</si>
  <si>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</si>
  <si>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</si>
  <si>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</si>
  <si>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</si>
  <si>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</si>
  <si>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</si>
  <si>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</si>
  <si>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</si>
  <si>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</si>
  <si>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</si>
  <si>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</si>
  <si>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</si>
  <si>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</si>
  <si>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</si>
  <si>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</si>
  <si>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</si>
  <si>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</si>
  <si>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</si>
  <si>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</si>
  <si>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</si>
  <si>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</si>
  <si>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</si>
  <si>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</si>
  <si>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</si>
  <si>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</si>
  <si>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</si>
  <si>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</si>
  <si>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</si>
  <si>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</si>
  <si>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</si>
  <si>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</si>
  <si>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</si>
  <si>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</si>
  <si>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</si>
  <si>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</si>
  <si>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</si>
  <si>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</si>
  <si>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</si>
  <si>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</si>
  <si>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</si>
  <si>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</si>
  <si>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</si>
  <si>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</si>
  <si>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</si>
  <si>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</si>
  <si>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</si>
  <si>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</si>
  <si>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</si>
  <si>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</si>
  <si>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</si>
  <si>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</si>
  <si>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</si>
  <si>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</si>
  <si>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</si>
  <si>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</si>
  <si>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</si>
  <si>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</si>
  <si>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</si>
  <si>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</si>
  <si>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</si>
  <si>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</si>
  <si>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</si>
  <si>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</si>
  <si>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</si>
  <si>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</si>
  <si>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</si>
  <si>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</si>
  <si>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</si>
  <si>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</si>
  <si>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</si>
  <si>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</si>
  <si>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</si>
  <si>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</si>
  <si>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</si>
  <si>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</si>
  <si>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</si>
  <si>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</si>
  <si>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</si>
  <si>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</si>
  <si>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</si>
  <si>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</si>
  <si>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</si>
  <si>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</si>
  <si>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</si>
  <si>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</si>
  <si>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</si>
  <si>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</si>
  <si>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</si>
  <si>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</si>
  <si>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</si>
  <si>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</si>
  <si>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</si>
  <si>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</si>
  <si>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</si>
  <si>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</si>
  <si>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</si>
  <si>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</si>
  <si>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</si>
  <si>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</si>
  <si>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</si>
  <si>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</si>
  <si>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</si>
  <si>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</si>
  <si>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</si>
  <si>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</si>
  <si>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</si>
  <si>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</si>
  <si>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</si>
  <si>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</si>
  <si>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</si>
  <si>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</si>
  <si>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</si>
  <si>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</si>
  <si>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</si>
  <si>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</si>
  <si>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</si>
  <si>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</si>
  <si>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</si>
  <si>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</si>
  <si>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</si>
  <si>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</si>
  <si>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</si>
  <si>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</si>
  <si>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</si>
  <si>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</si>
  <si>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</si>
  <si>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</si>
  <si>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</si>
  <si>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</si>
  <si>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</si>
  <si>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</si>
  <si>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</si>
  <si>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</si>
  <si>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</si>
  <si>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</si>
  <si>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</si>
  <si>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</si>
  <si>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</si>
  <si>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</si>
  <si>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</si>
  <si>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</si>
  <si>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</si>
  <si>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</si>
  <si>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</si>
  <si>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</si>
  <si>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</si>
  <si>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</si>
  <si>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</si>
  <si>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</si>
  <si>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</si>
  <si>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</si>
  <si>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</si>
  <si>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</si>
  <si>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</si>
  <si>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</si>
  <si>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</si>
  <si>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</si>
  <si>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</si>
  <si>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</si>
  <si>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</si>
  <si>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</si>
  <si>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</si>
  <si>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</si>
  <si>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</si>
  <si>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</si>
  <si>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</si>
  <si>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</si>
  <si>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</si>
  <si>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</si>
  <si>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</si>
  <si>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</si>
  <si>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</si>
  <si>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</si>
  <si>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</si>
  <si>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</si>
  <si>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</si>
  <si>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</si>
  <si>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</si>
  <si>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</si>
  <si>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</si>
  <si>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</si>
  <si>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</si>
  <si>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</si>
  <si>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</si>
  <si>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</si>
  <si>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</si>
  <si>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</si>
  <si>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</si>
  <si>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</si>
  <si>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</si>
  <si>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</si>
  <si>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</si>
  <si>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</si>
  <si>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</si>
  <si>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</si>
  <si>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</si>
  <si>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</si>
  <si>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</si>
  <si>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</si>
  <si>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</si>
  <si>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</si>
  <si>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</si>
  <si>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</si>
  <si>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</si>
  <si>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</si>
  <si>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</si>
  <si>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</si>
  <si>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</si>
  <si>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</si>
  <si>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</si>
  <si>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</si>
  <si>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</si>
  <si>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</si>
  <si>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</si>
  <si>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</si>
  <si>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</si>
  <si>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</si>
  <si>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</si>
  <si>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</si>
  <si>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</si>
  <si>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</si>
  <si>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</si>
  <si>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</si>
  <si>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</si>
  <si>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</si>
  <si>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</si>
  <si>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</si>
  <si>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</si>
  <si>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</si>
  <si>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</si>
  <si>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</si>
  <si>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</si>
  <si>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</si>
  <si>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</si>
  <si>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</si>
  <si>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</si>
  <si>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</si>
  <si>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</si>
  <si>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</si>
  <si>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</si>
  <si>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</si>
  <si>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</si>
  <si>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</si>
  <si>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</si>
  <si>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</si>
  <si>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</si>
  <si>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</si>
  <si>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</si>
  <si>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</si>
  <si>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</si>
  <si>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</si>
  <si>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</si>
  <si>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</si>
  <si>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</si>
  <si>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</si>
  <si>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</si>
  <si>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</si>
  <si>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</si>
  <si>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</si>
  <si>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</si>
  <si>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</si>
  <si>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</si>
  <si>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</si>
  <si>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</si>
  <si>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</si>
  <si>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</si>
  <si>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</si>
  <si>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</si>
  <si>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</si>
  <si>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</si>
  <si>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</si>
  <si>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</si>
  <si>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</si>
  <si>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</si>
  <si>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</si>
  <si>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</si>
  <si>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</si>
  <si>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</si>
  <si>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</si>
  <si>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</si>
  <si>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</si>
  <si>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</si>
  <si>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</si>
  <si>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</si>
  <si>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</si>
  <si>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</si>
  <si>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</si>
  <si>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</si>
  <si>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</si>
  <si>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</si>
  <si>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</si>
  <si>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</si>
  <si>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</si>
  <si>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</si>
  <si>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</si>
  <si>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</si>
  <si>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</si>
  <si>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</si>
  <si>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</si>
  <si>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</si>
  <si>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</si>
  <si>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</si>
  <si>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</si>
  <si>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</si>
  <si>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</si>
  <si>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</si>
  <si>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</si>
  <si>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</si>
  <si>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</si>
  <si>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</si>
  <si>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</si>
  <si>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</si>
  <si>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</si>
  <si>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</si>
  <si>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</si>
  <si>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</si>
  <si>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</si>
  <si>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</si>
  <si>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</si>
  <si>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</si>
  <si>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</si>
  <si>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</si>
  <si>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</si>
  <si>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</si>
  <si>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</si>
  <si>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</si>
  <si>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</si>
  <si>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</si>
  <si>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</si>
  <si>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</si>
  <si>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</si>
  <si>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</si>
  <si>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</si>
  <si>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</si>
  <si>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</si>
  <si>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</si>
  <si>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</si>
  <si>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</si>
  <si>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</si>
  <si>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</si>
  <si>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</si>
  <si>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</si>
  <si>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</si>
  <si>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</si>
  <si>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</si>
  <si>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</si>
  <si>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</si>
  <si>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</si>
  <si>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</si>
  <si>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</si>
  <si>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</si>
  <si>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</si>
  <si>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</si>
  <si>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</si>
  <si>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</si>
  <si>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</si>
  <si>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</si>
  <si>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</si>
  <si>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</si>
  <si>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</si>
  <si>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</si>
  <si>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</si>
  <si>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</si>
  <si>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</si>
  <si>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</si>
  <si>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</si>
  <si>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</si>
  <si>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</si>
  <si>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</si>
  <si>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</si>
  <si>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</si>
  <si>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</si>
  <si>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</si>
  <si>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</si>
  <si>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</si>
  <si>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</si>
  <si>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</si>
  <si>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</si>
  <si>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</si>
  <si>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</si>
  <si>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</si>
  <si>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</si>
  <si>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</si>
  <si>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</si>
  <si>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</si>
  <si>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</si>
  <si>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</si>
  <si>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</si>
  <si>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</si>
  <si>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</si>
  <si>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</si>
  <si>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</si>
  <si>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</si>
  <si>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</si>
  <si>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</si>
  <si>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</si>
  <si>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</si>
  <si>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</si>
  <si>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</si>
  <si>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</si>
  <si>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</si>
  <si>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</si>
  <si>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</si>
  <si>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</si>
  <si>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</si>
  <si>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</si>
  <si>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</si>
  <si>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</si>
  <si>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</si>
  <si>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</si>
  <si>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</si>
  <si>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</si>
  <si>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</si>
  <si>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</si>
  <si>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</si>
  <si>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</si>
  <si>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</si>
  <si>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</si>
  <si>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</si>
  <si>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</si>
  <si>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</si>
  <si>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</si>
  <si>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</si>
  <si>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</si>
  <si>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</si>
  <si>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</si>
  <si>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</si>
  <si>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</si>
  <si>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</si>
  <si>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</si>
  <si>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</si>
  <si>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</si>
  <si>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</si>
  <si>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</si>
  <si>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</si>
  <si>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</si>
  <si>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</si>
  <si>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</si>
  <si>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</si>
  <si>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</si>
  <si>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</si>
  <si>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</si>
  <si>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</si>
  <si>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</si>
  <si>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</si>
  <si>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</si>
  <si>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</si>
  <si>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</si>
  <si>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</si>
  <si>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</si>
  <si>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</si>
  <si>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</si>
  <si>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</si>
  <si>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</si>
  <si>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</si>
  <si>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</si>
  <si>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</si>
  <si>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</si>
  <si>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</si>
  <si>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</si>
  <si>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</si>
  <si>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</si>
  <si>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</si>
  <si>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</si>
  <si>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</si>
  <si>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</si>
  <si>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</si>
  <si>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</si>
  <si>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</si>
  <si>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</si>
  <si>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</si>
  <si>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</si>
  <si>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</si>
  <si>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</si>
  <si>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</si>
  <si>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</si>
  <si>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</si>
  <si>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</si>
  <si>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</si>
  <si>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</si>
  <si>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</si>
  <si>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</si>
  <si>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</si>
  <si>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</si>
  <si>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</si>
  <si>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</si>
  <si>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</si>
  <si>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</si>
  <si>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</si>
  <si>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</si>
  <si>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</si>
  <si>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</si>
  <si>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</si>
  <si>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</si>
  <si>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</si>
  <si>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</si>
  <si>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</si>
  <si>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</si>
  <si>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</si>
  <si>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</si>
  <si>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</si>
  <si>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</si>
  <si>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</si>
  <si>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</si>
  <si>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</si>
  <si>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</si>
  <si>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</si>
  <si>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</si>
  <si>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</si>
  <si>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</si>
  <si>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</si>
  <si>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</si>
  <si>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</si>
  <si>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</si>
  <si>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</si>
  <si>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</si>
  <si>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</si>
  <si>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</si>
  <si>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</si>
  <si>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</si>
  <si>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</si>
  <si>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</si>
  <si>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</si>
  <si>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</si>
  <si>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</si>
  <si>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</si>
  <si>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</si>
  <si>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</si>
  <si>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</si>
  <si>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</si>
  <si>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</si>
  <si>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</si>
  <si>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</si>
  <si>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</si>
  <si>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</si>
  <si>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</si>
  <si>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</si>
  <si>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</si>
  <si>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</si>
  <si>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</si>
  <si>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</si>
  <si>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</si>
  <si>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</si>
  <si>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</si>
  <si>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</si>
  <si>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</si>
  <si>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</si>
  <si>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</si>
  <si>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</si>
  <si>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</si>
  <si>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</si>
  <si>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</si>
  <si>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</si>
  <si>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</si>
  <si>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</si>
  <si>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</si>
  <si>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</si>
  <si>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</si>
  <si>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</si>
  <si>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</si>
  <si>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</si>
  <si>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</si>
  <si>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</si>
  <si>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</si>
  <si>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</si>
  <si>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</si>
  <si>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</si>
  <si>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</si>
  <si>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</si>
  <si>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</si>
  <si>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</si>
  <si>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</si>
  <si>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</si>
  <si>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</si>
  <si>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</si>
  <si>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</si>
  <si>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</si>
  <si>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</si>
  <si>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</si>
  <si>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</si>
  <si>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</si>
  <si>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</si>
  <si>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</si>
  <si>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</si>
  <si>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</si>
  <si>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</si>
  <si>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</si>
  <si>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</si>
  <si>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</si>
  <si>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</si>
  <si>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</si>
  <si>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</si>
  <si>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</si>
  <si>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</si>
  <si>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</si>
  <si>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</si>
  <si>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</si>
  <si>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</si>
  <si>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</si>
  <si>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</si>
  <si>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</si>
  <si>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</si>
  <si>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</si>
  <si>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</si>
  <si>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</si>
  <si>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</si>
  <si>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</si>
  <si>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</si>
  <si>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</si>
  <si>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</si>
  <si>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</si>
  <si>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</si>
  <si>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</si>
  <si>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</si>
  <si>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</si>
  <si>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</si>
  <si>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</si>
  <si>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</si>
  <si>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</si>
  <si>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</si>
  <si>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</si>
  <si>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</si>
  <si>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</si>
  <si>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</si>
  <si>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</si>
  <si>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</si>
  <si>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</si>
  <si>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</si>
  <si>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</si>
  <si>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</si>
  <si>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</si>
  <si>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</si>
  <si>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</si>
  <si>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</si>
  <si>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</si>
  <si>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</si>
  <si>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</si>
  <si>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</si>
  <si>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</si>
  <si>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</si>
  <si>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</si>
  <si>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</si>
  <si>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</si>
  <si>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</si>
  <si>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</si>
  <si>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</si>
  <si>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</si>
  <si>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</si>
  <si>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</si>
  <si>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</si>
  <si>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</si>
  <si>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</si>
  <si>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</si>
  <si>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</si>
  <si>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</si>
  <si>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</si>
  <si>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</si>
  <si>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</si>
  <si>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</si>
  <si>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</si>
  <si>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</si>
  <si>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</si>
  <si>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</si>
  <si>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</si>
  <si>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</si>
  <si>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</si>
  <si>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</si>
  <si>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</si>
  <si>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</si>
  <si>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</si>
  <si>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</si>
  <si>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</si>
  <si>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</si>
  <si>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</si>
  <si>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</si>
  <si>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</si>
  <si>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</si>
  <si>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</si>
  <si>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</si>
  <si>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</si>
  <si>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</si>
  <si>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</si>
  <si>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</si>
  <si>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</si>
  <si>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</si>
  <si>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</si>
  <si>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</si>
  <si>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</si>
  <si>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</si>
  <si>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</si>
  <si>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</si>
  <si>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</si>
  <si>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</si>
  <si>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</si>
  <si>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</si>
  <si>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</si>
  <si>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</si>
  <si>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</si>
  <si>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</si>
  <si>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</si>
  <si>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</si>
  <si>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</si>
  <si>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</si>
  <si>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</si>
  <si>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</si>
  <si>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</si>
  <si>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</si>
  <si>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</si>
  <si>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</si>
  <si>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</si>
  <si>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</si>
  <si>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</si>
  <si>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</si>
  <si>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</si>
  <si>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</si>
  <si>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</si>
  <si>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</si>
  <si>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</si>
  <si>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</si>
  <si>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</si>
  <si>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</si>
  <si>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</si>
  <si>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</si>
  <si>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</si>
  <si>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</si>
  <si>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</si>
  <si>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</si>
  <si>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</si>
  <si>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</si>
  <si>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</si>
  <si>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</si>
  <si>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</si>
  <si>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</si>
  <si>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</si>
  <si>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</si>
  <si>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</si>
  <si>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</si>
  <si>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</si>
  <si>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</si>
  <si>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</si>
  <si>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</si>
  <si>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</si>
  <si>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</si>
  <si>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</si>
  <si>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</si>
  <si>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</si>
  <si>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</si>
  <si>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</si>
  <si>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</si>
  <si>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</si>
  <si>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</si>
  <si>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</si>
  <si>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</si>
  <si>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</si>
  <si>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</si>
  <si>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</si>
  <si>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</si>
  <si>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</si>
  <si>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</si>
  <si>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</si>
  <si>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</si>
  <si>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</si>
  <si>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</si>
  <si>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</si>
  <si>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</si>
  <si>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</si>
  <si>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</si>
  <si>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</si>
  <si>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</si>
  <si>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</si>
  <si>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</si>
  <si>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</si>
  <si>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</si>
  <si>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</si>
  <si>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</si>
  <si>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</si>
  <si>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</si>
  <si>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</si>
  <si>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</si>
  <si>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</si>
  <si>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</si>
  <si>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</si>
  <si>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</si>
  <si>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</si>
  <si>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</si>
  <si>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</si>
  <si>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</si>
  <si>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</si>
  <si>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</si>
  <si>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</si>
  <si>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</si>
  <si>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</si>
  <si>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</si>
  <si>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</si>
  <si>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</si>
  <si>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</si>
  <si>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</si>
  <si>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</si>
  <si>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</si>
  <si>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</si>
  <si>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</si>
  <si>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</si>
  <si>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</si>
  <si>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</si>
  <si>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</si>
  <si>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</si>
  <si>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</si>
  <si>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</si>
  <si>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</si>
  <si>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</si>
  <si>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</si>
  <si>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</si>
  <si>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</si>
  <si>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</si>
  <si>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</si>
  <si>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</si>
  <si>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</si>
  <si>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</si>
  <si>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</si>
  <si>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</si>
  <si>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</si>
  <si>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</si>
  <si>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</si>
  <si>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</si>
  <si>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</si>
  <si>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</si>
  <si>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</si>
  <si>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</si>
  <si>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</si>
  <si>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</si>
  <si>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</si>
  <si>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</si>
  <si>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</si>
  <si>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</si>
  <si>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</si>
  <si>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</si>
  <si>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</si>
  <si>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</si>
  <si>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</si>
  <si>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</si>
  <si>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</si>
  <si>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</si>
  <si>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</si>
  <si>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</si>
  <si>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</si>
  <si>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</si>
  <si>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</si>
  <si>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</si>
  <si>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</si>
  <si>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</si>
  <si>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</si>
  <si>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</si>
  <si>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</si>
  <si>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</si>
  <si>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</si>
  <si>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</si>
  <si>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</si>
  <si>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</si>
  <si>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</si>
  <si>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</si>
  <si>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</si>
  <si>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</si>
  <si>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</si>
  <si>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</si>
  <si>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</si>
  <si>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</si>
  <si>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</si>
  <si>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</si>
  <si>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</si>
  <si>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</si>
  <si>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</si>
  <si>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</si>
  <si>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</si>
  <si>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</si>
  <si>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</si>
  <si>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</si>
  <si>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</si>
  <si>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</si>
  <si>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</si>
  <si>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</si>
  <si>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</si>
  <si>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</si>
  <si>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</si>
  <si>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</si>
  <si>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</si>
  <si>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</si>
  <si>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</si>
  <si>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</si>
  <si>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</si>
  <si>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</si>
  <si>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</si>
  <si>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</si>
  <si>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</si>
  <si>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</si>
  <si>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</si>
  <si>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</si>
  <si>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</si>
  <si>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</si>
  <si>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</si>
  <si>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</si>
  <si>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</si>
  <si>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</si>
  <si>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</si>
  <si>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</si>
  <si>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</si>
  <si>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</si>
  <si>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</si>
  <si>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</si>
  <si>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</si>
  <si>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</si>
  <si>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</si>
  <si>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</si>
  <si>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</si>
  <si>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</si>
  <si>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</si>
  <si>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</si>
  <si>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</si>
  <si>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</si>
  <si>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</si>
  <si>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</si>
  <si>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</si>
  <si>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</si>
  <si>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</si>
  <si>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</si>
  <si>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</si>
  <si>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</si>
  <si>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</si>
  <si>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</si>
  <si>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</si>
  <si>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</si>
  <si>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</si>
  <si>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</si>
  <si>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</si>
  <si>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</si>
  <si>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</si>
  <si>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</si>
  <si>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</si>
  <si>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</si>
  <si>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</si>
  <si>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</si>
  <si>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</si>
  <si>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</si>
  <si>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</si>
  <si>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</si>
  <si>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</si>
  <si>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</si>
  <si>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</si>
  <si>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</si>
  <si>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</si>
  <si>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</si>
  <si>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</si>
  <si>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</si>
  <si>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</si>
  <si>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</si>
  <si>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</si>
  <si>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</si>
  <si>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</si>
  <si>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</si>
  <si>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</si>
  <si>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</si>
  <si>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</si>
  <si>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</si>
  <si>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</si>
  <si>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</si>
  <si>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</si>
  <si>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</si>
  <si>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</si>
  <si>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</si>
  <si>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</si>
  <si>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</si>
  <si>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</si>
  <si>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</si>
  <si>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</si>
  <si>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</si>
  <si>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</si>
  <si>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</si>
  <si>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</si>
  <si>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</si>
  <si>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</si>
  <si>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</si>
  <si>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</si>
  <si>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</si>
  <si>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</si>
  <si>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</si>
  <si>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</si>
  <si>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</si>
  <si>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</si>
  <si>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</si>
  <si>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</si>
  <si>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</si>
  <si>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</si>
  <si>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</si>
  <si>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</si>
  <si>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</si>
  <si>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</si>
  <si>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</si>
  <si>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</si>
  <si>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</si>
  <si>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</si>
  <si>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</si>
  <si>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</si>
  <si>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</si>
  <si>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</si>
  <si>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</si>
  <si>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</si>
  <si>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</si>
  <si>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</si>
  <si>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</si>
  <si>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</si>
  <si>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</si>
  <si>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</si>
  <si>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</si>
  <si>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</si>
  <si>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</si>
  <si>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</si>
  <si>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</si>
  <si>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</si>
  <si>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</si>
  <si>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</si>
  <si>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</si>
  <si>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</si>
  <si>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</si>
  <si>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</si>
  <si>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</si>
  <si>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</si>
  <si>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</si>
  <si>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</si>
  <si>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</si>
  <si>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</si>
  <si>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</si>
  <si>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</si>
  <si>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</si>
  <si>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</si>
  <si>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</si>
  <si>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</si>
  <si>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</si>
  <si>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</si>
  <si>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</si>
  <si>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</si>
  <si>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</si>
  <si>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</si>
  <si>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</si>
  <si>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</si>
  <si>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</si>
  <si>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</si>
  <si>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</si>
  <si>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</si>
  <si>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</si>
  <si>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</si>
  <si>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</si>
  <si>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</si>
  <si>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</si>
  <si>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</si>
  <si>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</si>
  <si>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</si>
  <si>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</si>
  <si>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</si>
  <si>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</si>
  <si>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</si>
  <si>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</si>
  <si>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</si>
  <si>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</si>
  <si>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</si>
  <si>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</si>
  <si>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</si>
  <si>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</si>
  <si>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</si>
  <si>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</si>
  <si>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</si>
  <si>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</si>
  <si>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</si>
  <si>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</si>
  <si>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</si>
  <si>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</si>
  <si>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</si>
  <si>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</si>
  <si>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</si>
  <si>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</si>
  <si>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</si>
  <si>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</si>
  <si>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</si>
  <si>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</si>
  <si>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</si>
  <si>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</si>
  <si>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</si>
  <si>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</si>
  <si>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</si>
  <si>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</si>
  <si>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</si>
  <si>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</si>
  <si>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</si>
  <si>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</si>
  <si>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</si>
  <si>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</si>
  <si>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</si>
  <si>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</si>
  <si>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</si>
  <si>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</si>
  <si>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</si>
  <si>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</si>
  <si>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</si>
  <si>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</si>
  <si>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</si>
  <si>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</si>
  <si>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</si>
  <si>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</si>
  <si>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</si>
  <si>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</si>
  <si>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</si>
  <si>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</si>
  <si>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</si>
  <si>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</si>
  <si>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</si>
  <si>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</si>
  <si>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</si>
  <si>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</si>
  <si>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</si>
  <si>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</si>
  <si>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</si>
  <si>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</si>
  <si>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</si>
  <si>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</si>
  <si>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</si>
  <si>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</si>
  <si>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</si>
  <si>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</si>
  <si>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</si>
  <si>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</si>
  <si>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</si>
  <si>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</si>
  <si>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</si>
  <si>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</si>
  <si>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</si>
  <si>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</si>
  <si>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</si>
  <si>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</si>
  <si>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</si>
  <si>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</si>
  <si>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</si>
  <si>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</si>
  <si>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</si>
  <si>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</si>
  <si>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</si>
  <si>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</si>
  <si>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</si>
  <si>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</si>
  <si>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</si>
  <si>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</si>
  <si>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</si>
  <si>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</si>
  <si>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</si>
  <si>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</si>
  <si>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</si>
  <si>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</si>
  <si>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</si>
  <si>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</si>
  <si>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</si>
  <si>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</si>
  <si>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</si>
  <si>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</si>
  <si>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</si>
  <si>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</si>
  <si>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</si>
  <si>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</si>
  <si>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</si>
  <si>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</si>
  <si>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</si>
  <si>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</si>
  <si>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</si>
  <si>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</si>
  <si>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</si>
  <si>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</si>
  <si>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</si>
  <si>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</si>
  <si>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</si>
  <si>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</si>
  <si>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</si>
  <si>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</si>
  <si>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</si>
  <si>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</si>
  <si>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</si>
  <si>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</si>
  <si>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</si>
  <si>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</si>
  <si>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</si>
  <si>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</si>
  <si>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</si>
  <si>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</si>
  <si>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</si>
  <si>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</si>
  <si>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</si>
  <si>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</si>
  <si>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</si>
  <si>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</si>
  <si>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</si>
  <si>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</si>
  <si>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</si>
  <si>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</si>
  <si>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</si>
  <si>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</si>
  <si>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</si>
  <si>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</si>
  <si>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</si>
  <si>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</si>
  <si>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</si>
  <si>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</si>
  <si>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</si>
  <si>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</si>
  <si>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</si>
  <si>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</si>
  <si>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</si>
  <si>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</si>
  <si>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</si>
  <si>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</si>
  <si>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</si>
  <si>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</si>
  <si>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</si>
  <si>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</si>
  <si>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</si>
  <si>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</si>
  <si>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</si>
  <si>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</si>
  <si>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</si>
  <si>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</si>
  <si>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</si>
  <si>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</si>
  <si>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</si>
  <si>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</si>
  <si>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</si>
  <si>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</si>
  <si>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</si>
  <si>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</si>
  <si>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</si>
  <si>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</si>
  <si>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</si>
  <si>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</si>
  <si>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</si>
  <si>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</si>
  <si>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</si>
  <si>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</si>
  <si>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</si>
  <si>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</si>
  <si>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</si>
  <si>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</si>
  <si>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</si>
  <si>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</si>
  <si>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</si>
  <si>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</si>
  <si>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</si>
  <si>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</si>
  <si>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</si>
  <si>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</si>
  <si>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</si>
  <si>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</si>
  <si>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</si>
  <si>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</si>
  <si>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</si>
  <si>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</si>
  <si>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</si>
  <si>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</si>
  <si>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</si>
  <si>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</si>
  <si>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</si>
  <si>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</si>
  <si>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</si>
  <si>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</si>
  <si>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</si>
  <si>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</si>
  <si>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</si>
  <si>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</si>
  <si>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</si>
  <si>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</si>
  <si>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</si>
  <si>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</si>
  <si>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</si>
  <si>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</si>
  <si>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</si>
  <si>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</si>
  <si>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</si>
  <si>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</si>
  <si>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</si>
  <si>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</si>
  <si>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</si>
  <si>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</si>
  <si>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</si>
  <si>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</si>
  <si>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</si>
  <si>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</si>
  <si>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</si>
  <si>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</si>
  <si>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</si>
  <si>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</si>
  <si>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</si>
  <si>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</si>
  <si>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</si>
  <si>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</si>
  <si>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</si>
  <si>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</si>
  <si>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</si>
  <si>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</si>
  <si>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</si>
  <si>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</si>
  <si>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</si>
  <si>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</si>
  <si>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</si>
  <si>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</si>
  <si>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</si>
  <si>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</si>
  <si>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</si>
  <si>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</si>
  <si>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</si>
  <si>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</si>
  <si>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</si>
  <si>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</si>
  <si>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</si>
  <si>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</si>
  <si>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</si>
  <si>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</si>
  <si>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</si>
  <si>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</si>
  <si>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</si>
  <si>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</si>
  <si>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</si>
  <si>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</si>
  <si>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</si>
  <si>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</si>
  <si>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</si>
  <si>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</si>
  <si>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</si>
  <si>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</si>
  <si>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</si>
  <si>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</si>
  <si>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</si>
  <si>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</si>
  <si>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</si>
  <si>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</si>
  <si>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</si>
  <si>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</si>
  <si>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</si>
  <si>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</si>
  <si>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</si>
  <si>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</si>
  <si>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</si>
  <si>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</si>
  <si>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</si>
  <si>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</si>
  <si>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</si>
  <si>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</si>
  <si>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</si>
  <si>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</si>
  <si>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</si>
  <si>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</si>
  <si>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</si>
  <si>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</si>
  <si>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</si>
  <si>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</si>
  <si>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</si>
  <si>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</si>
  <si>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</si>
  <si>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</si>
  <si>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</si>
  <si>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</si>
  <si>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</si>
  <si>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</si>
  <si>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</si>
  <si>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</si>
  <si>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</si>
  <si>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</si>
  <si>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</si>
  <si>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</si>
  <si>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</si>
  <si>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</si>
  <si>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</si>
  <si>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</si>
  <si>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</si>
  <si>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</si>
  <si>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</si>
  <si>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</si>
  <si>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</si>
  <si>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</si>
  <si>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</si>
  <si>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</si>
  <si>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</si>
  <si>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</si>
  <si>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</si>
  <si>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</si>
  <si>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</si>
  <si>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</si>
  <si>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</si>
  <si>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</si>
  <si>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</si>
  <si>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</si>
  <si>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</si>
  <si>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</si>
  <si>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</si>
  <si>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</si>
  <si>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</si>
  <si>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</si>
  <si>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</si>
  <si>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</si>
  <si>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</si>
  <si>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</si>
  <si>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</si>
  <si>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</si>
  <si>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</si>
  <si>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</si>
  <si>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</si>
  <si>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</si>
  <si>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</si>
  <si>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</si>
  <si>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</si>
  <si>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</si>
  <si>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</si>
  <si>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</si>
  <si>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</si>
  <si>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</si>
  <si>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</si>
  <si>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</si>
  <si>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</si>
  <si>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</si>
  <si>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</si>
  <si>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</si>
  <si>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</si>
  <si>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</si>
  <si>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</si>
  <si>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</si>
  <si>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</si>
  <si>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</si>
  <si>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</si>
  <si>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</si>
  <si>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</si>
  <si>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</si>
  <si>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</si>
  <si>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</si>
  <si>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</si>
  <si>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</si>
  <si>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</si>
  <si>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</si>
  <si>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</si>
  <si>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</si>
  <si>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</si>
  <si>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</si>
  <si>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</si>
  <si>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</si>
  <si>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</si>
  <si>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</si>
  <si>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</si>
  <si>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</si>
  <si>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</si>
  <si>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</si>
  <si>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</si>
  <si>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</si>
  <si>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</si>
  <si>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</si>
  <si>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</si>
  <si>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</si>
  <si>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</si>
  <si>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</si>
  <si>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</si>
  <si>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</si>
  <si>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</si>
  <si>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</si>
  <si>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</si>
  <si>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</si>
  <si>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</si>
  <si>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</si>
  <si>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</si>
  <si>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</si>
  <si>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</si>
  <si>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</si>
  <si>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</si>
  <si>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</si>
  <si>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</si>
  <si>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</si>
  <si>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</si>
  <si>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</si>
  <si>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</si>
  <si>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</si>
  <si>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</si>
  <si>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</si>
  <si>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</si>
  <si>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</si>
  <si>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</si>
  <si>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</si>
  <si>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</si>
  <si>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</si>
  <si>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</si>
  <si>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</si>
  <si>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</si>
  <si>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</si>
  <si>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</si>
  <si>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</si>
  <si>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</si>
  <si>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</si>
  <si>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</si>
  <si>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</si>
  <si>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</si>
  <si>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</si>
  <si>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</si>
  <si>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</si>
  <si>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</si>
  <si>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</si>
  <si>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</si>
  <si>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</si>
  <si>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</si>
  <si>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</si>
  <si>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</si>
  <si>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</si>
  <si>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</si>
  <si>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</si>
  <si>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</si>
  <si>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</si>
  <si>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</si>
  <si>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</si>
  <si>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</si>
  <si>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</si>
  <si>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</si>
  <si>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</si>
  <si>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</si>
  <si>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</si>
  <si>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</si>
  <si>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</si>
  <si>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</si>
  <si>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</si>
  <si>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</si>
  <si>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</si>
  <si>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</si>
  <si>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</si>
  <si>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</si>
  <si>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</si>
  <si>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</si>
  <si>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</si>
  <si>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</si>
  <si>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</si>
  <si>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</si>
  <si>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</si>
  <si>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</si>
  <si>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</si>
  <si>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</si>
  <si>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</si>
  <si>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</si>
  <si>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</si>
  <si>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</si>
  <si>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</si>
  <si>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</si>
  <si>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</si>
  <si>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</si>
  <si>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</si>
  <si>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</si>
  <si>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</si>
  <si>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</si>
  <si>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</si>
  <si>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</si>
  <si>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</si>
  <si>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</si>
  <si>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</si>
  <si>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</si>
  <si>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</si>
  <si>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</si>
  <si>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</si>
  <si>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</si>
  <si>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</si>
  <si>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</si>
  <si>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</si>
  <si>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</si>
  <si>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</si>
  <si>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</si>
  <si>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</si>
  <si>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</si>
  <si>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</si>
  <si>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</si>
  <si>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</si>
  <si>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</si>
  <si>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</si>
  <si>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</si>
  <si>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</si>
  <si>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</si>
  <si>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</si>
  <si>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</si>
  <si>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</si>
  <si>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</si>
  <si>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</si>
  <si>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</si>
  <si>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</si>
  <si>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</si>
  <si>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</si>
  <si>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</si>
  <si>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</si>
  <si>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</si>
  <si>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</si>
  <si>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</si>
  <si>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</si>
  <si>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</si>
  <si>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</si>
  <si>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</si>
  <si>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</si>
  <si>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</si>
  <si>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</si>
  <si>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</si>
  <si>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</si>
  <si>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</si>
  <si>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</si>
  <si>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</si>
  <si>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</si>
  <si>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</si>
  <si>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</si>
  <si>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</si>
  <si>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</si>
  <si>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</si>
  <si>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</si>
  <si>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</si>
  <si>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</si>
  <si>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</si>
  <si>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</si>
  <si>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</si>
  <si>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</si>
  <si>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</si>
  <si>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</si>
  <si>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</si>
  <si>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</si>
  <si>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</si>
  <si>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</si>
  <si>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</si>
  <si>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</si>
  <si>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</si>
  <si>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</si>
  <si>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</si>
  <si>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</si>
  <si>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</si>
  <si>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</si>
  <si>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</si>
  <si>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</si>
  <si>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</si>
  <si>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</si>
  <si>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</si>
  <si>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</si>
  <si>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</si>
  <si>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</si>
  <si>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</si>
  <si>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</si>
  <si>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</si>
  <si>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</si>
  <si>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</si>
  <si>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</si>
  <si>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</si>
  <si>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</si>
  <si>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</si>
  <si>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</si>
  <si>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</si>
  <si>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</si>
  <si>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</si>
  <si>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</si>
  <si>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</si>
  <si>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</si>
  <si>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</si>
  <si>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</si>
  <si>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</si>
  <si>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</si>
  <si>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</si>
  <si>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</si>
  <si>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</si>
  <si>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</si>
  <si>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</si>
  <si>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</si>
  <si>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</si>
  <si>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</si>
  <si>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</si>
  <si>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</si>
  <si>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</si>
  <si>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</si>
  <si>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</si>
  <si>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</si>
  <si>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</si>
  <si>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</si>
  <si>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</si>
  <si>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</si>
  <si>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</si>
  <si>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</si>
  <si>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</si>
  <si>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</si>
  <si>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</si>
  <si>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</si>
  <si>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</si>
  <si>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</si>
  <si>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</si>
  <si>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</si>
  <si>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</si>
  <si>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</si>
  <si>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</si>
  <si>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</si>
  <si>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</si>
  <si>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</si>
  <si>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</si>
  <si>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</si>
  <si>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</si>
  <si>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</si>
  <si>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</si>
  <si>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</si>
  <si>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</si>
  <si>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</si>
  <si>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</si>
  <si>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</si>
  <si>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</si>
  <si>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</si>
  <si>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</si>
  <si>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</si>
  <si>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</si>
  <si>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</si>
  <si>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</si>
  <si>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</si>
  <si>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</si>
  <si>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</si>
  <si>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</si>
  <si>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</si>
  <si>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</si>
  <si>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</si>
  <si>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</si>
  <si>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</si>
  <si>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</si>
  <si>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</si>
  <si>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</si>
  <si>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</si>
  <si>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</si>
  <si>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</si>
  <si>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</si>
  <si>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</si>
  <si>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</si>
  <si>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</si>
  <si>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</si>
  <si>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</si>
  <si>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</si>
  <si>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</si>
  <si>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</si>
  <si>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</si>
  <si>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</si>
  <si>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</si>
  <si>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</si>
  <si>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</si>
  <si>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</si>
  <si>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</si>
  <si>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</si>
  <si>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</si>
  <si>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</si>
  <si>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</si>
  <si>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</si>
  <si>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</si>
  <si>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</si>
  <si>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</si>
  <si>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</si>
  <si>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</si>
  <si>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</si>
  <si>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</si>
  <si>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</si>
  <si>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</si>
  <si>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</si>
  <si>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</si>
  <si>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</si>
  <si>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</si>
  <si>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</si>
  <si>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</si>
  <si>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</si>
  <si>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</si>
  <si>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</si>
  <si>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</si>
  <si>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</si>
  <si>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</si>
  <si>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</si>
  <si>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</si>
  <si>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</si>
  <si>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</si>
  <si>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</si>
  <si>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</si>
  <si>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</si>
  <si>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</si>
  <si>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</si>
  <si>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</si>
  <si>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</si>
  <si>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</si>
  <si>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</si>
  <si>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</si>
  <si>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</si>
  <si>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</si>
  <si>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</si>
  <si>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</si>
  <si>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</si>
  <si>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</si>
  <si>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</si>
  <si>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</si>
  <si>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</si>
  <si>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</si>
  <si>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</si>
  <si>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</si>
  <si>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</si>
  <si>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</si>
  <si>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</si>
  <si>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</si>
  <si>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</si>
  <si>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</si>
  <si>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</si>
  <si>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</si>
  <si>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</si>
  <si>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</si>
  <si>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</si>
  <si>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</si>
  <si>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</si>
  <si>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</si>
  <si>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</si>
  <si>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</si>
  <si>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</si>
  <si>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</si>
  <si>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</si>
  <si>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</si>
  <si>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</si>
  <si>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</si>
  <si>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</si>
  <si>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</si>
  <si>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</si>
  <si>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</si>
  <si>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</si>
  <si>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</si>
  <si>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</si>
  <si>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</si>
  <si>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</si>
  <si>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</si>
  <si>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</si>
  <si>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</si>
  <si>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</si>
  <si>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</si>
  <si>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</si>
  <si>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</si>
  <si>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</si>
  <si>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</si>
  <si>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</si>
  <si>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</si>
  <si>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</si>
  <si>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</si>
  <si>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</si>
  <si>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</si>
  <si>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</si>
  <si>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</si>
  <si>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</si>
  <si>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</si>
  <si>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</si>
  <si>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</si>
  <si>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</si>
  <si>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</si>
  <si>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</si>
  <si>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</si>
  <si>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</si>
  <si>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</si>
  <si>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</si>
  <si>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</si>
  <si>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</si>
  <si>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</si>
  <si>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</si>
  <si>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</si>
  <si>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</si>
  <si>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</si>
  <si>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</si>
  <si>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</si>
  <si>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</si>
  <si>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</si>
  <si>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</si>
  <si>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</si>
  <si>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</si>
  <si>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</si>
  <si>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</si>
  <si>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</si>
  <si>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</si>
  <si>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</si>
  <si>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</si>
  <si>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</si>
  <si>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</si>
  <si>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</si>
  <si>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</si>
  <si>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</si>
  <si>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</si>
  <si>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</si>
  <si>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</si>
  <si>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</si>
  <si>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</si>
  <si>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</si>
  <si>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</si>
  <si>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</si>
  <si>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</si>
  <si>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</si>
  <si>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</si>
  <si>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</si>
  <si>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</si>
  <si>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</si>
  <si>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</si>
  <si>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</si>
  <si>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</si>
  <si>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</si>
  <si>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</si>
  <si>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</si>
  <si>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</si>
  <si>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</si>
  <si>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</si>
  <si>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</si>
  <si>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</si>
  <si>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</si>
  <si>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</si>
  <si>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</si>
  <si>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</si>
  <si>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</si>
  <si>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</si>
  <si>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</si>
  <si>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</si>
  <si>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</si>
  <si>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</si>
  <si>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</si>
  <si>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</si>
  <si>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</si>
  <si>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</si>
  <si>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</si>
  <si>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</si>
  <si>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</si>
  <si>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</si>
  <si>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</si>
  <si>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</si>
  <si>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</si>
  <si>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</si>
  <si>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</si>
  <si>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</si>
  <si>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</si>
  <si>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</si>
  <si>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</si>
  <si>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</si>
  <si>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</si>
  <si>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</si>
  <si>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</si>
  <si>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</si>
  <si>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</si>
  <si>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</si>
  <si>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</si>
  <si>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</si>
  <si>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</si>
  <si>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</si>
  <si>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</si>
  <si>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</si>
  <si>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</si>
  <si>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</si>
  <si>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</si>
  <si>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</si>
  <si>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</si>
  <si>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</si>
  <si>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</si>
  <si>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</si>
  <si>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</si>
  <si>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</si>
  <si>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</si>
  <si>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</si>
  <si>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</si>
  <si>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</si>
  <si>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</si>
  <si>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</si>
  <si>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</si>
  <si>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</si>
  <si>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</si>
  <si>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</si>
  <si>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</si>
  <si>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</si>
  <si>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</si>
  <si>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</si>
  <si>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</si>
  <si>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</si>
  <si>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</si>
  <si>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</si>
  <si>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</si>
  <si>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</si>
  <si>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</si>
  <si>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</si>
  <si>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</si>
  <si>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</si>
  <si>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</si>
  <si>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</si>
  <si>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</si>
  <si>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</si>
  <si>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</si>
  <si>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</si>
  <si>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</si>
  <si>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</si>
  <si>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</si>
  <si>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</si>
  <si>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</si>
  <si>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</si>
  <si>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</si>
  <si>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</si>
  <si>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</si>
  <si>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</si>
  <si>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</si>
  <si>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</si>
  <si>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</si>
  <si>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</si>
  <si>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</si>
  <si>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</si>
  <si>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</si>
  <si>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</si>
  <si>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</si>
  <si>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</si>
  <si>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</si>
  <si>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</si>
  <si>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</si>
  <si>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</si>
  <si>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</si>
  <si>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</si>
  <si>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</si>
  <si>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</si>
  <si>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</si>
  <si>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</si>
  <si>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</si>
  <si>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</si>
  <si>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</si>
  <si>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</si>
  <si>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</si>
  <si>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</si>
  <si>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</si>
  <si>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</si>
  <si>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</si>
  <si>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</si>
  <si>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</si>
  <si>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</si>
  <si>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</si>
  <si>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</si>
  <si>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</si>
  <si>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</si>
  <si>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</si>
  <si>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</si>
  <si>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</si>
  <si>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</si>
  <si>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</si>
  <si>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</si>
  <si>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</si>
  <si>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</si>
  <si>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</si>
  <si>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</si>
  <si>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</si>
  <si>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</si>
  <si>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</si>
  <si>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</si>
  <si>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</si>
  <si>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</si>
  <si>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</si>
  <si>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</si>
  <si>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</si>
  <si>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</si>
  <si>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</si>
  <si>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</si>
  <si>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</si>
  <si>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</si>
  <si>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</si>
  <si>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</si>
  <si>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</si>
  <si>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</si>
  <si>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</si>
  <si>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</si>
  <si>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</si>
  <si>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</si>
  <si>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</si>
  <si>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</si>
  <si>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</si>
  <si>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</si>
  <si>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</si>
  <si>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</si>
  <si>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</si>
  <si>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</si>
  <si>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</si>
  <si>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</si>
  <si>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</si>
  <si>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</si>
  <si>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</si>
  <si>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</si>
  <si>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</si>
  <si>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</si>
  <si>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</si>
  <si>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</si>
  <si>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</si>
  <si>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</si>
  <si>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</si>
  <si>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</si>
  <si>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</si>
  <si>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</si>
  <si>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</si>
  <si>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</si>
  <si>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</si>
  <si>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</si>
  <si>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</si>
  <si>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</si>
  <si>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</si>
  <si>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</si>
  <si>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</si>
  <si>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</si>
  <si>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</si>
  <si>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</si>
  <si>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</si>
  <si>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</si>
  <si>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</si>
  <si>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</si>
  <si>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</si>
  <si>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</si>
  <si>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</si>
  <si>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</si>
  <si>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</si>
  <si>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</si>
  <si>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</si>
  <si>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</si>
  <si>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</si>
  <si>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</si>
  <si>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</si>
  <si>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</si>
  <si>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</si>
  <si>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</si>
  <si>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</si>
  <si>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</si>
  <si>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</si>
  <si>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</si>
  <si>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</si>
  <si>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</si>
  <si>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</si>
  <si>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</si>
  <si>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</si>
  <si>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</si>
  <si>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</si>
  <si>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</si>
  <si>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</si>
  <si>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</si>
  <si>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</si>
  <si>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</si>
  <si>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</si>
  <si>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</si>
  <si>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</si>
  <si>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</si>
  <si>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</si>
  <si>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</si>
  <si>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</si>
  <si>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</si>
  <si>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</si>
  <si>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</si>
  <si>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</si>
  <si>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</si>
  <si>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</si>
  <si>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</si>
  <si>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</si>
  <si>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</si>
  <si>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</si>
  <si>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</si>
  <si>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</si>
  <si>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</si>
  <si>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</si>
  <si>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</si>
  <si>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</si>
  <si>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</si>
  <si>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</si>
  <si>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</si>
  <si>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</si>
  <si>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</si>
  <si>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</si>
  <si>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</si>
  <si>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</si>
  <si>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</si>
  <si>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</si>
  <si>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</si>
  <si>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</si>
  <si>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</si>
  <si>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</si>
  <si>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</si>
  <si>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</si>
  <si>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</si>
  <si>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</si>
  <si>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</si>
  <si>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</si>
  <si>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</si>
  <si>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</si>
  <si>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</si>
  <si>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</si>
  <si>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</si>
  <si>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</si>
  <si>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</si>
  <si>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</si>
  <si>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</si>
  <si>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</si>
  <si>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</si>
  <si>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</si>
  <si>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</si>
  <si>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</si>
  <si>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</si>
  <si>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</si>
  <si>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</si>
  <si>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</si>
  <si>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</si>
  <si>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</si>
  <si>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</si>
  <si>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</si>
  <si>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</si>
  <si>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</si>
  <si>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</si>
  <si>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</si>
  <si>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</si>
  <si>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</si>
  <si>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</si>
  <si>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</si>
  <si>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</si>
  <si>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</si>
  <si>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</si>
  <si>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</si>
  <si>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</si>
  <si>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</si>
  <si>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</si>
  <si>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</si>
  <si>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</si>
  <si>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</si>
  <si>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</si>
  <si>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</si>
  <si>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</si>
  <si>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</si>
  <si>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</si>
  <si>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</si>
  <si>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</si>
  <si>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</si>
  <si>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</si>
  <si>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</si>
  <si>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</si>
  <si>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</si>
  <si>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</si>
  <si>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</si>
  <si>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</si>
  <si>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</si>
  <si>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</si>
  <si>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</si>
  <si>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</si>
  <si>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</si>
  <si>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</si>
  <si>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</si>
  <si>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</si>
  <si>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</si>
  <si>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</si>
  <si>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</si>
  <si>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</si>
  <si>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</si>
  <si>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</si>
  <si>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</si>
  <si>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</si>
  <si>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</si>
  <si>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</si>
  <si>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</si>
  <si>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</si>
  <si>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</si>
  <si>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</si>
  <si>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</si>
  <si>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</si>
  <si>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</si>
  <si>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</si>
  <si>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</si>
  <si>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</si>
  <si>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</si>
  <si>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</si>
  <si>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</si>
  <si>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</si>
  <si>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</si>
  <si>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</si>
  <si>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</si>
  <si>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</si>
  <si>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</si>
  <si>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</si>
  <si>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</si>
  <si>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</si>
  <si>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</si>
  <si>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</si>
  <si>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</si>
  <si>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</si>
  <si>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</si>
  <si>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</si>
  <si>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</si>
  <si>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</si>
  <si>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</si>
  <si>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</si>
  <si>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</si>
  <si>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</si>
  <si>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</si>
  <si>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</si>
  <si>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</si>
  <si>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</si>
  <si>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</si>
  <si>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</si>
  <si>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</si>
  <si>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</si>
  <si>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</si>
  <si>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</si>
  <si>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</si>
  <si>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</si>
  <si>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</si>
  <si>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</si>
  <si>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</si>
  <si>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</si>
  <si>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</si>
  <si>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</si>
  <si>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</si>
  <si>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</si>
  <si>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</si>
  <si>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</si>
  <si>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</si>
  <si>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</si>
  <si>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</si>
  <si>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</si>
  <si>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</si>
  <si>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</si>
  <si>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</si>
  <si>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</si>
  <si>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</si>
  <si>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</si>
  <si>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</si>
  <si>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</si>
  <si>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</si>
  <si>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</si>
  <si>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</si>
  <si>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</si>
  <si>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</si>
  <si>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</si>
  <si>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</si>
  <si>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</si>
  <si>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</si>
  <si>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</si>
  <si>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</si>
  <si>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</si>
  <si>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</si>
  <si>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</si>
  <si>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</si>
  <si>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</si>
  <si>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</si>
  <si>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</si>
  <si>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</si>
  <si>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</si>
  <si>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</si>
  <si>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</si>
  <si>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</si>
  <si>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</si>
  <si>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</si>
  <si>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</si>
  <si>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</si>
  <si>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</si>
  <si>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</si>
  <si>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</si>
  <si>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</si>
  <si>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</si>
  <si>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</si>
  <si>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</si>
  <si>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</si>
  <si>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</si>
  <si>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</si>
  <si>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</si>
  <si>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</si>
  <si>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</si>
  <si>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</si>
  <si>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</si>
  <si>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</si>
  <si>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</si>
  <si>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</si>
  <si>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</si>
  <si>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</si>
  <si>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</si>
  <si>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</si>
  <si>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</si>
  <si>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</si>
  <si>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</si>
  <si>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</si>
  <si>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</si>
  <si>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</si>
  <si>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</si>
  <si>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</si>
  <si>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</si>
  <si>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</si>
  <si>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</si>
  <si>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</si>
  <si>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</si>
  <si>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</si>
  <si>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</si>
  <si>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</si>
  <si>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</si>
  <si>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</si>
  <si>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</si>
  <si>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</si>
  <si>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</si>
  <si>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</si>
  <si>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</si>
  <si>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</si>
  <si>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</si>
  <si>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</si>
  <si>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</si>
  <si>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</si>
  <si>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</si>
  <si>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</si>
  <si>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</si>
  <si>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</si>
  <si>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</si>
  <si>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</si>
  <si>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</si>
  <si>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</si>
  <si>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</si>
  <si>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</si>
  <si>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</si>
  <si>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</si>
  <si>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</si>
  <si>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</si>
  <si>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</si>
  <si>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</si>
  <si>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</si>
  <si>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</si>
  <si>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</si>
  <si>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</si>
  <si>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</si>
  <si>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</si>
  <si>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</si>
  <si>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</si>
  <si>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</si>
  <si>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</si>
  <si>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</si>
  <si>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</si>
  <si>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</si>
  <si>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</si>
  <si>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</si>
  <si>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</si>
  <si>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</si>
  <si>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</si>
  <si>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</si>
  <si>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</si>
  <si>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</si>
  <si>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</si>
  <si>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</si>
  <si>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</si>
  <si>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</si>
  <si>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</si>
  <si>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</si>
  <si>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</si>
  <si>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</si>
  <si>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</si>
  <si>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</si>
  <si>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</si>
  <si>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</si>
  <si>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</si>
  <si>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</si>
  <si>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</si>
  <si>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</si>
  <si>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</si>
  <si>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</si>
  <si>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</si>
  <si>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</si>
  <si>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</si>
  <si>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</si>
  <si>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</si>
  <si>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</si>
  <si>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</si>
  <si>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</si>
  <si>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</si>
  <si>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</si>
  <si>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</si>
  <si>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</si>
  <si>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</si>
  <si>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</si>
  <si>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</si>
  <si>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</si>
  <si>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</si>
  <si>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</si>
  <si>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</si>
  <si>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</si>
  <si>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</si>
  <si>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</si>
  <si>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</si>
  <si>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</si>
  <si>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</si>
  <si>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</si>
  <si>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</si>
  <si>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</si>
  <si>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</si>
  <si>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</si>
  <si>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</si>
  <si>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</si>
  <si>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</si>
  <si>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</si>
  <si>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</si>
  <si>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</si>
  <si>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</si>
  <si>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</si>
  <si>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</si>
  <si>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</si>
  <si>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</si>
  <si>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</si>
  <si>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</si>
  <si>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</si>
  <si>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</si>
  <si>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</si>
  <si>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</si>
  <si>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</si>
  <si>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</si>
  <si>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</si>
  <si>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</si>
  <si>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</si>
  <si>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</si>
  <si>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</si>
  <si>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</si>
  <si>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</si>
  <si>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</si>
  <si>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</si>
  <si>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</si>
  <si>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</si>
  <si>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</si>
  <si>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</si>
  <si>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</si>
  <si>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</si>
  <si>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</si>
  <si>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</si>
  <si>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</si>
  <si>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</si>
  <si>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</si>
  <si>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</si>
  <si>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</si>
  <si>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</si>
  <si>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</si>
  <si>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</si>
  <si>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</si>
  <si>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</si>
  <si>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</si>
  <si>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</si>
  <si>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</si>
  <si>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</si>
  <si>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</si>
  <si>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</si>
  <si>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</si>
  <si>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</si>
  <si>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</si>
  <si>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</si>
  <si>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</si>
  <si>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</si>
  <si>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</si>
  <si>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</si>
  <si>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</si>
  <si>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</si>
  <si>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</si>
  <si>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</si>
  <si>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</si>
  <si>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</si>
  <si>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</si>
  <si>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</si>
  <si>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</si>
  <si>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</si>
  <si>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</si>
  <si>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</si>
  <si>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</si>
  <si>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</si>
  <si>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</si>
  <si>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</si>
  <si>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</si>
  <si>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</si>
  <si>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</si>
  <si>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</si>
  <si>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</si>
  <si>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</si>
  <si>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</si>
  <si>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</si>
  <si>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</si>
  <si>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</si>
  <si>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</si>
  <si>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</si>
  <si>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</si>
  <si>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</si>
  <si>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</si>
  <si>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</si>
  <si>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</si>
  <si>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</si>
  <si>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</si>
  <si>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</si>
  <si>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</si>
  <si>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</si>
  <si>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</si>
  <si>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</si>
  <si>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</si>
  <si>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</si>
  <si>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</si>
  <si>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</si>
  <si>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</si>
  <si>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</si>
  <si>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</si>
  <si>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</si>
  <si>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</si>
  <si>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</si>
  <si>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</si>
  <si>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</si>
  <si>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</si>
  <si>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</si>
  <si>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</si>
  <si>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</si>
  <si>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</si>
  <si>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</si>
  <si>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</si>
  <si>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</si>
  <si>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</si>
  <si>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</si>
  <si>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</si>
  <si>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</si>
  <si>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</si>
  <si>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</si>
  <si>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</si>
  <si>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</si>
  <si>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</si>
  <si>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</si>
  <si>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</si>
  <si>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</si>
  <si>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</si>
  <si>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</si>
  <si>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</si>
  <si>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</si>
  <si>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</si>
  <si>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</si>
  <si>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</si>
  <si>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</si>
  <si>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</si>
  <si>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</si>
  <si>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</si>
  <si>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</si>
  <si>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</si>
  <si>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</si>
  <si>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</si>
  <si>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</si>
  <si>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</si>
  <si>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</si>
  <si>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</si>
  <si>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</si>
  <si>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</si>
  <si>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</si>
  <si>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</si>
  <si>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</si>
  <si>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</si>
  <si>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</si>
  <si>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</si>
  <si>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</si>
  <si>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</si>
  <si>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</si>
  <si>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</si>
  <si>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</si>
  <si>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</si>
  <si>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</si>
  <si>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</si>
  <si>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</si>
  <si>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</si>
  <si>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</si>
  <si>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</si>
  <si>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</si>
  <si>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</si>
  <si>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</si>
  <si>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</si>
  <si>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</si>
  <si>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</si>
  <si>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</si>
  <si>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</si>
  <si>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</si>
  <si>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</si>
  <si>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</si>
  <si>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</si>
  <si>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</si>
  <si>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</si>
  <si>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</si>
  <si>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</si>
  <si>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</si>
  <si>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</si>
  <si>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</si>
  <si>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</si>
  <si>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</si>
  <si>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</si>
  <si>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</si>
  <si>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</si>
  <si>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</si>
  <si>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</si>
  <si>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</si>
  <si>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</si>
  <si>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</si>
  <si>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</si>
  <si>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</si>
  <si>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</si>
  <si>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</si>
  <si>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</si>
  <si>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</si>
  <si>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</si>
  <si>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</si>
  <si>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</si>
  <si>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</si>
  <si>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</si>
  <si>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</si>
  <si>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</si>
  <si>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</si>
  <si>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</si>
  <si>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</si>
  <si>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</si>
  <si>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</si>
  <si>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</si>
  <si>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</si>
  <si>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</si>
  <si>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</si>
  <si>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</si>
  <si>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</si>
  <si>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</si>
  <si>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</si>
  <si>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</si>
  <si>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</si>
  <si>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</si>
  <si>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</si>
  <si>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</si>
  <si>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</si>
  <si>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</si>
  <si>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</si>
  <si>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</si>
  <si>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</si>
  <si>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</si>
  <si>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</si>
  <si>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</si>
  <si>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</si>
  <si>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</si>
  <si>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</si>
  <si>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</si>
  <si>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</si>
  <si>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</si>
  <si>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</si>
  <si>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</si>
  <si>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</si>
  <si>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</si>
  <si>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</si>
  <si>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</si>
  <si>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</si>
  <si>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</si>
  <si>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</si>
  <si>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</si>
  <si>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</si>
  <si>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</si>
  <si>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</si>
  <si>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</si>
  <si>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</si>
  <si>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</si>
  <si>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</si>
  <si>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</si>
  <si>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</si>
  <si>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</si>
  <si>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</si>
  <si>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</si>
  <si>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</si>
  <si>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</si>
  <si>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</si>
  <si>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</si>
  <si>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</si>
  <si>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</si>
  <si>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</si>
  <si>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</si>
  <si>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</si>
  <si>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</si>
  <si>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</si>
  <si>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</si>
  <si>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</si>
  <si>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</si>
  <si>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</si>
  <si>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</si>
  <si>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</si>
  <si>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</si>
  <si>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</si>
  <si>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</si>
  <si>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</si>
  <si>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</si>
  <si>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</si>
  <si>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</si>
  <si>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</si>
  <si>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</si>
  <si>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</si>
  <si>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</si>
  <si>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</si>
  <si>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</si>
  <si>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</si>
  <si>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</si>
  <si>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</si>
  <si>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</si>
  <si>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</si>
  <si>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</si>
  <si>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</si>
  <si>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</si>
  <si>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</si>
  <si>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</si>
  <si>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</si>
  <si>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</si>
  <si>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</si>
  <si>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</si>
  <si>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</si>
  <si>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</si>
  <si>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</si>
  <si>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</si>
  <si>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</si>
  <si>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</si>
  <si>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</si>
  <si>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</si>
  <si>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</si>
  <si>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</si>
  <si>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</si>
  <si>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</si>
  <si>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</si>
  <si>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</si>
  <si>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</si>
  <si>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</si>
  <si>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</si>
  <si>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</si>
  <si>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</si>
  <si>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</si>
  <si>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</si>
  <si>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</si>
  <si>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</si>
  <si>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</si>
  <si>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</si>
  <si>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</si>
  <si>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</si>
  <si>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</si>
  <si>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</si>
  <si>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</si>
  <si>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</si>
  <si>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</si>
  <si>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</si>
  <si>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</si>
  <si>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</si>
  <si>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</si>
  <si>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</si>
  <si>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</si>
  <si>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</si>
  <si>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</si>
  <si>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</si>
  <si>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</si>
  <si>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</si>
  <si>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</si>
  <si>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</si>
  <si>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</si>
  <si>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</si>
  <si>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</si>
  <si>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</si>
  <si>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</si>
  <si>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</si>
  <si>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</si>
  <si>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</si>
  <si>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</si>
  <si>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</si>
  <si>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</si>
  <si>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</si>
  <si>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</si>
  <si>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</si>
  <si>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</si>
  <si>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</si>
  <si>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</si>
  <si>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</si>
  <si>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</si>
  <si>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</si>
  <si>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</si>
  <si>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</si>
  <si>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</si>
  <si>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</si>
  <si>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</si>
  <si>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</si>
  <si>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</si>
  <si>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</si>
  <si>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</si>
  <si>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</si>
  <si>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</si>
  <si>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</si>
  <si>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</si>
  <si>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</si>
  <si>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</si>
  <si>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</si>
  <si>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</si>
  <si>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</si>
  <si>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</si>
  <si>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</si>
  <si>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</si>
  <si>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</si>
  <si>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</si>
  <si>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</si>
  <si>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</si>
  <si>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</si>
  <si>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</si>
  <si>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</si>
  <si>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</si>
  <si>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</si>
  <si>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</si>
  <si>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</si>
  <si>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</si>
  <si>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</si>
  <si>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</si>
  <si>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</si>
  <si>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</si>
  <si>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</si>
  <si>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</si>
  <si>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</si>
  <si>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</si>
  <si>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</si>
  <si>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</si>
  <si>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</si>
  <si>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</si>
  <si>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</si>
  <si>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</si>
  <si>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</si>
  <si>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</si>
  <si>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</si>
  <si>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</si>
  <si>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</si>
  <si>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</si>
  <si>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</si>
  <si>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</si>
  <si>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</si>
  <si>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</si>
  <si>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</si>
  <si>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</si>
  <si>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</si>
  <si>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</si>
  <si>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</si>
  <si>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</si>
  <si>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</si>
  <si>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</si>
  <si>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</si>
  <si>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</si>
  <si>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</si>
  <si>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</si>
  <si>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</si>
  <si>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</si>
  <si>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</si>
  <si>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</si>
  <si>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</si>
  <si>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</si>
  <si>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</si>
  <si>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</si>
  <si>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</si>
  <si>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</si>
  <si>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</si>
  <si>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</si>
  <si>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</si>
  <si>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</si>
  <si>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</si>
  <si>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</si>
  <si>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</si>
  <si>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</si>
  <si>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</si>
  <si>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</si>
  <si>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</si>
  <si>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</si>
  <si>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</si>
  <si>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</si>
  <si>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</si>
  <si>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</si>
  <si>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</si>
  <si>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</si>
  <si>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</si>
  <si>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</si>
  <si>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</si>
  <si>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</si>
  <si>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</si>
  <si>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</si>
  <si>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</si>
  <si>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</si>
  <si>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</si>
  <si>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</si>
  <si>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</si>
  <si>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</si>
  <si>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</si>
  <si>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</si>
  <si>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</si>
  <si>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</si>
  <si>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</si>
  <si>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</si>
  <si>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</si>
  <si>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</si>
  <si>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</si>
  <si>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</si>
  <si>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</si>
  <si>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</si>
  <si>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</si>
  <si>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</si>
  <si>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</si>
  <si>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</si>
  <si>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</si>
  <si>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</si>
  <si>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</si>
  <si>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</si>
  <si>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</si>
  <si>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</si>
  <si>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</si>
  <si>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</si>
  <si>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</si>
  <si>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</si>
  <si>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</si>
  <si>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</si>
  <si>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</si>
  <si>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</si>
  <si>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</si>
  <si>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</si>
  <si>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</si>
  <si>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</si>
  <si>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</si>
  <si>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</si>
  <si>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</si>
  <si>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</si>
  <si>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</si>
  <si>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</si>
  <si>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</si>
  <si>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</si>
  <si>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</si>
  <si>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</si>
  <si>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</si>
  <si>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</si>
  <si>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</si>
  <si>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</si>
  <si>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</si>
  <si>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</si>
  <si>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</si>
  <si>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</si>
  <si>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</si>
  <si>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</si>
  <si>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</si>
  <si>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</si>
  <si>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</si>
  <si>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</si>
  <si>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</si>
  <si>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</si>
  <si>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</si>
  <si>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</si>
  <si>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</si>
  <si>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</si>
  <si>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</si>
  <si>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</si>
  <si>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</si>
  <si>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</si>
  <si>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</si>
  <si>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</si>
  <si>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</si>
  <si>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</si>
  <si>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</si>
  <si>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</si>
  <si>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</si>
  <si>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</si>
  <si>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</si>
  <si>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</si>
  <si>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</si>
  <si>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</si>
  <si>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</si>
  <si>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</si>
  <si>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</si>
  <si>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</si>
  <si>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</si>
  <si>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</si>
  <si>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</si>
  <si>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</si>
  <si>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</si>
  <si>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</si>
  <si>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</si>
  <si>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</si>
  <si>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</si>
  <si>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</si>
  <si>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</si>
  <si>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</si>
  <si>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</si>
  <si>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</si>
  <si>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</si>
  <si>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</si>
  <si>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</si>
  <si>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</si>
  <si>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</si>
  <si>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</si>
  <si>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</si>
  <si>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</si>
  <si>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</si>
  <si>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</si>
  <si>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</si>
  <si>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</si>
  <si>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</si>
  <si>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</si>
  <si>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</si>
  <si>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</si>
  <si>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</si>
  <si>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</si>
  <si>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</si>
  <si>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</si>
  <si>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</si>
  <si>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</si>
  <si>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</si>
  <si>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</si>
  <si>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</si>
  <si>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</si>
  <si>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</si>
  <si>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</si>
  <si>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</si>
  <si>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</si>
  <si>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</si>
  <si>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</si>
  <si>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</si>
  <si>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</si>
  <si>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</si>
  <si>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</si>
  <si>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</si>
  <si>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</si>
  <si>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</si>
  <si>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</si>
  <si>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</si>
  <si>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</si>
  <si>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</si>
  <si>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</si>
  <si>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</si>
  <si>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</si>
  <si>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</si>
  <si>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</si>
  <si>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</si>
  <si>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</si>
  <si>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</si>
  <si>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</si>
  <si>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</si>
  <si>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</si>
  <si>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</si>
  <si>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</si>
  <si>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</si>
  <si>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</si>
  <si>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</si>
  <si>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</si>
  <si>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</si>
  <si>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</si>
  <si>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</si>
  <si>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</si>
  <si>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</si>
  <si>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</si>
  <si>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</si>
  <si>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</si>
  <si>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</si>
  <si>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</si>
  <si>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</si>
  <si>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</si>
  <si>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</si>
  <si>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</si>
  <si>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</si>
  <si>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</si>
  <si>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</si>
  <si>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</si>
  <si>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</si>
  <si>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</si>
  <si>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</si>
  <si>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</si>
  <si>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</si>
  <si>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</si>
  <si>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</si>
  <si>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</si>
  <si>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</si>
  <si>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</si>
  <si>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</si>
  <si>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</si>
  <si>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</si>
  <si>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</si>
  <si>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</si>
  <si>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Var</t>
  </si>
  <si>
    <t xml:space="preserve">Nice</t>
  </si>
  <si>
    <t xml:space="preserve">06213000</t>
  </si>
  <si>
    <t xml:space="preserve">RCS PACA 2015</t>
  </si>
  <si>
    <t xml:space="preserve">ch. lotique</t>
  </si>
  <si>
    <t xml:space="preserve">ch. lentique</t>
  </si>
  <si>
    <t xml:space="preserve">élevé</t>
  </si>
  <si>
    <t xml:space="preserve">peu abondant</t>
  </si>
  <si>
    <t xml:space="preserve">absent</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</si>
  <si>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</si>
  <si>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</si>
  <si>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</si>
  <si>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</si>
  <si>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</si>
  <si>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</si>
  <si>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</si>
  <si>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</si>
  <si>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</si>
  <si>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</si>
  <si>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</si>
  <si>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</si>
  <si>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</si>
  <si>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</si>
  <si>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</si>
  <si>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</si>
  <si>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</si>
  <si>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</si>
  <si>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</si>
  <si>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</si>
  <si>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Cf.</t>
  </si>
  <si>
    <t xml:space="preserve">périphyton</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</si>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</sst>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100" zoomScaleNormal="100" zoomScalePageLayoutView="100" workbookViewId="0">
      <selection pane="topLeft" activeCell="AC12" activeCellId="0" sqref="AC1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42213</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9.27777777777778</v>
      </c>
      <c r="N5" s="352"/>
      <c r="O5" s="353" t="s">
        <v>2172</v>
      </c>
      <c r="P5" s="354" t="n">
        <v>9.35714285714286</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84</v>
      </c>
      <c r="C7" s="370" t="n">
        <v>16</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9.6</v>
      </c>
      <c r="P8" s="384" t="n">
        <f aca="false">IF(ISERROR(AVERAGE(K23:K82)),"  ",AVERAGE(K23:K82))</f>
        <v>1.4</v>
      </c>
      <c r="Q8" s="385"/>
      <c r="R8" s="309"/>
      <c r="S8" s="309"/>
      <c r="T8" s="309"/>
      <c r="U8" s="309"/>
      <c r="V8" s="309"/>
      <c r="W8" s="323"/>
    </row>
    <row r="9" customFormat="false" ht="12.75" hidden="false" customHeight="false" outlineLevel="0" collapsed="false">
      <c r="A9" s="342" t="s">
        <v>3394</v>
      </c>
      <c r="B9" s="386" t="n">
        <v>7.2</v>
      </c>
      <c r="C9" s="387" t="n">
        <v>1.1</v>
      </c>
      <c r="D9" s="388"/>
      <c r="E9" s="388"/>
      <c r="F9" s="389" t="n">
        <f aca="false">($B9*$B$7+$C9*$C$7)/100</f>
        <v>6.224</v>
      </c>
      <c r="G9" s="390"/>
      <c r="H9" s="345"/>
      <c r="I9" s="309"/>
      <c r="J9" s="391"/>
      <c r="K9" s="392"/>
      <c r="L9" s="375"/>
      <c r="M9" s="393"/>
      <c r="N9" s="383" t="s">
        <v>3395</v>
      </c>
      <c r="O9" s="384" t="n">
        <f aca="false">IF(ISERROR(STDEVP(J23:J82))," ",STDEVP(J23:J82))</f>
        <v>2.9732137494637</v>
      </c>
      <c r="P9" s="384" t="n">
        <f aca="false">IF(ISERROR(STDEVP(K23:K82)),"  ",STDEVP(K23:K82))</f>
        <v>0.489897948556636</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13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4</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0.769230769230769</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7.245</v>
      </c>
      <c r="C20" s="461" t="n">
        <f aca="false">SUM(C23:C62)</f>
        <v>1.08</v>
      </c>
      <c r="D20" s="462"/>
      <c r="E20" s="463" t="s">
        <v>3419</v>
      </c>
      <c r="F20" s="464" t="n">
        <f aca="false">($B20*$B$7+$C20*$C$7)/100</f>
        <v>6.2586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6.0858</v>
      </c>
      <c r="C21" s="472" t="n">
        <f aca="false">C20*C7/100</f>
        <v>0.1728</v>
      </c>
      <c r="D21" s="473" t="s">
        <v>3422</v>
      </c>
      <c r="E21" s="474"/>
      <c r="F21" s="475" t="n">
        <f aca="false">B21+C21</f>
        <v>6.2586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t="n">
        <v>0.005</v>
      </c>
      <c r="C23" s="502"/>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0.0042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0.0042</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7</v>
      </c>
      <c r="C24" s="520" t="n">
        <v>0.005</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5.8808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5.8808</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289</v>
      </c>
      <c r="B25" s="519" t="n">
        <v>0.005</v>
      </c>
      <c r="C25" s="520"/>
      <c r="D25" s="521" t="str">
        <f aca="false">IF(ISERROR(VLOOKUP($A25,'liste reference'!$A$6:$B$1174,2,0)),IF(ISERROR(VLOOKUP($A25,'liste reference'!$B$6:$B$1174,1,0)),"",VLOOKUP($A25,'liste reference'!$B$6:$B$1174,1,0)),VLOOKUP($A25,'liste reference'!$A$6:$B$1174,2,0))</f>
        <v>Nostoc sp.</v>
      </c>
      <c r="E25" s="522" t="e">
        <f aca="false">IF(D25="",0,VLOOKUP(D25,D$22:D24,1,0))</f>
        <v>#N/A</v>
      </c>
      <c r="F25" s="523" t="n">
        <f aca="false">IF(AND(OR(A25="",A25="!!!!!!"),B25="",C25=""),"",IF(OR(AND(B25="",C25=""),ISERROR(C25+B25)),"!!!",($B25*$B$7+$C25*$C$7)/100))</f>
        <v>0.0042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9</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Nostoc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1105</v>
      </c>
      <c r="R25" s="513" t="n">
        <f aca="false">IF(ISTEXT(H25),"",(B25*$B$7/100)+(C25*$C$7/100))</f>
        <v>0.0042</v>
      </c>
      <c r="S25" s="514" t="n">
        <f aca="false">IF(OR(ISTEXT(H25),R25=0),"",IF(R25&lt;0.1,1,IF(R25&lt;1,2,IF(R25&lt;10,3,IF(R25&lt;50,4,IF(R25&gt;=50,5,""))))))</f>
        <v>1</v>
      </c>
      <c r="T25" s="514" t="n">
        <f aca="false">IF(ISERROR(S25*J25),0,S25*J25)</f>
        <v>9</v>
      </c>
      <c r="U25" s="514" t="n">
        <f aca="false">IF(ISERROR(S25*J25*K25),0,S25*J25*K25)</f>
        <v>9</v>
      </c>
      <c r="V25" s="530" t="n">
        <f aca="false">IF(ISERROR(S25*K25),0,S25*K25)</f>
        <v>1</v>
      </c>
      <c r="W25" s="531"/>
      <c r="X25" s="532"/>
      <c r="Y25" s="517" t="str">
        <f aca="false">IF(AND(ISNUMBER(F25),OR(A25="",A25="!!!!!!")),"!!!!!!",IF(A25="new.cod","NEWCOD",IF(AND((Z25=""),ISTEXT(A25),A25&lt;&gt;"!!!!!!"),A25,IF(Z25="","",INDEX('liste reference'!$A$6:$A$1174,Z25)))))</f>
        <v>NOSSPX</v>
      </c>
      <c r="Z25" s="499" t="n">
        <f aca="false">IF(ISERROR(MATCH(A25,'liste reference'!$A$6:$A$1174,0)),IF(ISERROR(MATCH(A25,'liste reference'!$B$6:$B$1174,0)),"",(MATCH(A25,'liste reference'!$B$6:$B$1174,0))),(MATCH(A25,'liste reference'!$A$6:$A$1174,0)))</f>
        <v>84</v>
      </c>
    </row>
    <row r="26" customFormat="false" ht="12.75" hidden="false" customHeight="false" outlineLevel="0" collapsed="false">
      <c r="A26" s="518" t="s">
        <v>298</v>
      </c>
      <c r="B26" s="519" t="n">
        <v>0.01</v>
      </c>
      <c r="C26" s="520"/>
      <c r="D26" s="521" t="str">
        <f aca="false">IF(ISERROR(VLOOKUP($A26,'liste reference'!$A$6:$B$1174,2,0)),IF(ISERROR(VLOOKUP($A26,'liste reference'!$B$6:$B$1174,1,0)),"",VLOOKUP($A26,'liste reference'!$B$6:$B$1174,1,0)),VLOOKUP($A26,'liste reference'!$A$6:$B$1174,2,0))</f>
        <v>Oedogonium sp.</v>
      </c>
      <c r="E26" s="522" t="e">
        <f aca="false">IF(D26="",0,VLOOKUP(D26,D$22:D25,1,0))</f>
        <v>#N/A</v>
      </c>
      <c r="F26" s="523" t="n">
        <f aca="false">IF(AND(OR(A26="",A26="!!!!!!"),B26="",C26=""),"",IF(OR(AND(B26="",C26=""),ISERROR(C26+B26)),"!!!",($B26*$B$7+$C26*$C$7)/100))</f>
        <v>0.0084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Oedogonium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1134</v>
      </c>
      <c r="R26" s="513" t="n">
        <f aca="false">IF(ISTEXT(H26),"",(B26*$B$7/100)+(C26*$C$7/100))</f>
        <v>0.0084</v>
      </c>
      <c r="S26" s="514" t="n">
        <f aca="false">IF(OR(ISTEXT(H26),R26=0),"",IF(R26&lt;0.1,1,IF(R26&lt;1,2,IF(R26&lt;10,3,IF(R26&lt;50,4,IF(R26&gt;=50,5,""))))))</f>
        <v>1</v>
      </c>
      <c r="T26" s="514" t="n">
        <f aca="false">IF(ISERROR(S26*J26),0,S26*J26)</f>
        <v>6</v>
      </c>
      <c r="U26" s="514" t="n">
        <f aca="false">IF(ISERROR(S26*J26*K26),0,S26*J26*K26)</f>
        <v>12</v>
      </c>
      <c r="V26" s="530" t="n">
        <f aca="false">IF(ISERROR(S26*K26),0,S26*K26)</f>
        <v>2</v>
      </c>
      <c r="W26" s="531"/>
      <c r="X26" s="532"/>
      <c r="Y26" s="517" t="str">
        <f aca="false">IF(AND(ISNUMBER(F26),OR(A26="",A26="!!!!!!")),"!!!!!!",IF(A26="new.cod","NEWCOD",IF(AND((Z26=""),ISTEXT(A26),A26&lt;&gt;"!!!!!!"),A26,IF(Z26="","",INDEX('liste reference'!$A$6:$A$1174,Z26)))))</f>
        <v>OEDSPX</v>
      </c>
      <c r="Z26" s="499" t="n">
        <f aca="false">IF(ISERROR(MATCH(A26,'liste reference'!$A$6:$A$1174,0)),IF(ISERROR(MATCH(A26,'liste reference'!$B$6:$B$1174,0)),"",(MATCH(A26,'liste reference'!$B$6:$B$1174,0))),(MATCH(A26,'liste reference'!$A$6:$A$1174,0)))</f>
        <v>85</v>
      </c>
    </row>
    <row r="27" customFormat="false" ht="12.75" hidden="false" customHeight="false" outlineLevel="0" collapsed="false">
      <c r="A27" s="518" t="s">
        <v>307</v>
      </c>
      <c r="B27" s="519" t="n">
        <v>0.005</v>
      </c>
      <c r="C27" s="520" t="n">
        <v>0.005</v>
      </c>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0.005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341</v>
      </c>
      <c r="B28" s="519" t="n">
        <v>0.03</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0.0252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0.0252</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710</v>
      </c>
      <c r="B29" s="519" t="n">
        <v>0.02</v>
      </c>
      <c r="C29" s="520"/>
      <c r="D29" s="521" t="str">
        <f aca="false">IF(ISERROR(VLOOKUP($A29,'liste reference'!$A$6:$B$1174,2,0)),IF(ISERROR(VLOOKUP($A29,'liste reference'!$B$6:$B$1174,1,0)),"",VLOOKUP($A29,'liste reference'!$B$6:$B$1174,1,0)),VLOOKUP($A29,'liste reference'!$A$6:$B$1174,2,0))</f>
        <v>Cinclidotus riparius</v>
      </c>
      <c r="E29" s="522" t="e">
        <f aca="false">IF(D29="",0,VLOOKUP(D29,D$22:D28,1,0))</f>
        <v>#N/A</v>
      </c>
      <c r="F29" s="523" t="n">
        <f aca="false">IF(AND(OR(A29="",A29="!!!!!!"),B29="",C29=""),"",IF(OR(AND(B29="",C29=""),ISERROR(C29+B29)),"!!!",($B29*$B$7+$C29*$C$7)/100))</f>
        <v>0.0168</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riparius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1321</v>
      </c>
      <c r="R29" s="513" t="n">
        <f aca="false">IF(ISTEXT(H29),"",(B29*$B$7/100)+(C29*$C$7/100))</f>
        <v>0.0168</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CINRIP</v>
      </c>
      <c r="Z29" s="499" t="n">
        <f aca="false">IF(ISERROR(MATCH(A29,'liste reference'!$A$6:$A$1174,0)),IF(ISERROR(MATCH(A29,'liste reference'!$B$6:$B$1174,0)),"",(MATCH(A29,'liste reference'!$B$6:$B$1174,0))),(MATCH(A29,'liste reference'!$A$6:$A$1174,0)))</f>
        <v>224</v>
      </c>
    </row>
    <row r="30" customFormat="false" ht="12.75" hidden="false" customHeight="false" outlineLevel="0" collapsed="false">
      <c r="A30" s="518" t="s">
        <v>1120</v>
      </c>
      <c r="B30" s="519" t="n">
        <v>0.01</v>
      </c>
      <c r="C30" s="520"/>
      <c r="D30" s="521" t="str">
        <f aca="false">IF(ISERROR(VLOOKUP($A30,'liste reference'!$A$6:$B$1174,2,0)),IF(ISERROR(VLOOKUP($A30,'liste reference'!$B$6:$B$1174,1,0)),"",VLOOKUP($A30,'liste reference'!$B$6:$B$1174,1,0)),VLOOKUP($A30,'liste reference'!$A$6:$B$1174,2,0))</f>
        <v>Rhynchostegium riparioides</v>
      </c>
      <c r="E30" s="522" t="e">
        <f aca="false">IF(D30="",0,VLOOKUP(D30,D$22:D29,1,0))</f>
        <v>#N/A</v>
      </c>
      <c r="F30" s="523" t="n">
        <f aca="false">IF(AND(OR(A30="",A30="!!!!!!"),B30="",C30=""),"",IF(OR(AND(B30="",C30=""),ISERROR(C30+B30)),"!!!",($B30*$B$7+$C30*$C$7)/100))</f>
        <v>0.0084</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Rhynchostegium riparioides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31691</v>
      </c>
      <c r="R30" s="513" t="n">
        <f aca="false">IF(ISTEXT(H30),"",(B30*$B$7/100)+(C30*$C$7/100))</f>
        <v>0.0084</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RHYRIP</v>
      </c>
      <c r="Z30" s="499" t="n">
        <f aca="false">IF(ISERROR(MATCH(A30,'liste reference'!$A$6:$A$1174,0)),IF(ISERROR(MATCH(A30,'liste reference'!$B$6:$B$1174,0)),"",(MATCH(A30,'liste reference'!$B$6:$B$1174,0))),(MATCH(A30,'liste reference'!$A$6:$A$1174,0)))</f>
        <v>345</v>
      </c>
    </row>
    <row r="31" customFormat="false" ht="12.75" hidden="false" customHeight="false" outlineLevel="0" collapsed="false">
      <c r="A31" s="518" t="s">
        <v>1268</v>
      </c>
      <c r="B31" s="519" t="n">
        <v>0.005</v>
      </c>
      <c r="C31" s="520" t="n">
        <v>0.02</v>
      </c>
      <c r="D31" s="521" t="str">
        <f aca="false">IF(ISERROR(VLOOKUP($A31,'liste reference'!$A$6:$B$1174,2,0)),IF(ISERROR(VLOOKUP($A31,'liste reference'!$B$6:$B$1174,1,0)),"",VLOOKUP($A31,'liste reference'!$B$6:$B$1174,1,0)),VLOOKUP($A31,'liste reference'!$A$6:$B$1174,2,0))</f>
        <v>Equisetum ramosissimum</v>
      </c>
      <c r="E31" s="522" t="e">
        <f aca="false">IF(D31="",0,VLOOKUP(D31,D$22:D30,1,0))</f>
        <v>#N/A</v>
      </c>
      <c r="F31" s="523" t="n">
        <f aca="false">IF(AND(OR(A31="",A31="!!!!!!"),B31="",C31=""),"",IF(OR(AND(B31="",C31=""),ISERROR(C31+B31)),"!!!",($B31*$B$7+$C31*$C$7)/100))</f>
        <v>0.0074</v>
      </c>
      <c r="G31" s="524" t="str">
        <f aca="false">IF(A31="","",IF(ISERROR(VLOOKUP($A31,'liste reference'!$A$6:$Q$1174,9,0)),IF(ISERROR(VLOOKUP($A31,'liste reference'!$B$6:$Q$1174,8,0)),"    -",VLOOKUP($A31,'liste reference'!$B$6:$Q$1174,8,0)),VLOOKUP($A31,'liste reference'!$A$6:$Q$1174,9,0)))</f>
        <v>PTE</v>
      </c>
      <c r="H31" s="525" t="n">
        <f aca="false">IF(A31="","x",IF(ISERROR(VLOOKUP($A31,'liste reference'!$A$6:$Q$1174,10,0)),IF(ISERROR(VLOOKUP($A31,'liste reference'!$B$6:$Q$1174,9,0)),"x",VLOOKUP($A31,'liste reference'!$B$6:$Q$1174,9,0)),VLOOKUP($A31,'liste reference'!$A$6:$Q$1174,10,0)))</f>
        <v>6</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Equisetum ramosissimum</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29992</v>
      </c>
      <c r="R31" s="513" t="n">
        <f aca="false">IF(ISTEXT(H31),"",(B31*$B$7/100)+(C31*$C$7/100))</f>
        <v>0.0074</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EQURAM</v>
      </c>
      <c r="Z31" s="499" t="n">
        <f aca="false">IF(ISERROR(MATCH(A31,'liste reference'!$A$6:$A$1174,0)),IF(ISERROR(MATCH(A31,'liste reference'!$B$6:$B$1174,0)),"",(MATCH(A31,'liste reference'!$B$6:$B$1174,0))),(MATCH(A31,'liste reference'!$A$6:$A$1174,0)))</f>
        <v>390</v>
      </c>
    </row>
    <row r="32" customFormat="false" ht="12.75" hidden="false" customHeight="false" outlineLevel="0" collapsed="false">
      <c r="A32" s="518" t="s">
        <v>1916</v>
      </c>
      <c r="B32" s="519" t="n">
        <v>0.005</v>
      </c>
      <c r="C32" s="520"/>
      <c r="D32" s="521" t="str">
        <f aca="false">IF(ISERROR(VLOOKUP($A32,'liste reference'!$A$6:$B$1174,2,0)),IF(ISERROR(VLOOKUP($A32,'liste reference'!$B$6:$B$1174,1,0)),"",VLOOKUP($A32,'liste reference'!$B$6:$B$1174,1,0)),VLOOKUP($A32,'liste reference'!$A$6:$B$1174,2,0))</f>
        <v>Zannichellia palustris</v>
      </c>
      <c r="E32" s="522" t="e">
        <f aca="false">IF(D32="",0,VLOOKUP(D32,D$22:D31,1,0))</f>
        <v>#N/A</v>
      </c>
      <c r="F32" s="523" t="n">
        <f aca="false">IF(AND(OR(A32="",A32="!!!!!!"),B32="",C32=""),"",IF(OR(AND(B32="",C32=""),ISERROR(C32+B32)),"!!!",($B32*$B$7+$C32*$C$7)/100))</f>
        <v>0.0042</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5</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Zannichellia palustris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1681</v>
      </c>
      <c r="R32" s="513" t="n">
        <f aca="false">IF(ISTEXT(H32),"",(B32*$B$7/100)+(C32*$C$7/100))</f>
        <v>0.0042</v>
      </c>
      <c r="S32" s="514" t="n">
        <f aca="false">IF(OR(ISTEXT(H32),R32=0),"",IF(R32&lt;0.1,1,IF(R32&lt;1,2,IF(R32&lt;10,3,IF(R32&lt;50,4,IF(R32&gt;=50,5,""))))))</f>
        <v>1</v>
      </c>
      <c r="T32" s="514" t="n">
        <f aca="false">IF(ISERROR(S32*J32),0,S32*J32)</f>
        <v>5</v>
      </c>
      <c r="U32" s="514" t="n">
        <f aca="false">IF(ISERROR(S32*J32*K32),0,S32*J32*K32)</f>
        <v>5</v>
      </c>
      <c r="V32" s="530" t="n">
        <f aca="false">IF(ISERROR(S32*K32),0,S32*K32)</f>
        <v>1</v>
      </c>
      <c r="W32" s="531"/>
      <c r="X32" s="532"/>
      <c r="Y32" s="517" t="str">
        <f aca="false">IF(AND(ISNUMBER(F32),OR(A32="",A32="!!!!!!")),"!!!!!!",IF(A32="new.cod","NEWCOD",IF(AND((Z32=""),ISTEXT(A32),A32&lt;&gt;"!!!!!!"),A32,IF(Z32="","",INDEX('liste reference'!$A$6:$A$1174,Z32)))))</f>
        <v>ZANPAL</v>
      </c>
      <c r="Z32" s="499" t="n">
        <f aca="false">IF(ISERROR(MATCH(A32,'liste reference'!$A$6:$A$1174,0)),IF(ISERROR(MATCH(A32,'liste reference'!$B$6:$B$1174,0)),"",(MATCH(A32,'liste reference'!$B$6:$B$1174,0))),(MATCH(A32,'liste reference'!$A$6:$A$1174,0)))</f>
        <v>617</v>
      </c>
    </row>
    <row r="33" customFormat="false" ht="12.75" hidden="false" customHeight="false" outlineLevel="0" collapsed="false">
      <c r="A33" s="518" t="s">
        <v>1941</v>
      </c>
      <c r="B33" s="519" t="n">
        <v>0.06</v>
      </c>
      <c r="C33" s="520" t="n">
        <v>0.7</v>
      </c>
      <c r="D33" s="521" t="str">
        <f aca="false">IF(ISERROR(VLOOKUP($A33,'liste reference'!$A$6:$B$1174,2,0)),IF(ISERROR(VLOOKUP($A33,'liste reference'!$B$6:$B$1174,1,0)),"",VLOOKUP($A33,'liste reference'!$B$6:$B$1174,1,0)),VLOOKUP($A33,'liste reference'!$A$6:$B$1174,2,0))</f>
        <v>Bolboschoenus maritimus</v>
      </c>
      <c r="E33" s="522" t="e">
        <f aca="false">IF(D33="",0,VLOOKUP(D33,D$22:D32,1,0))</f>
        <v>#N/A</v>
      </c>
      <c r="F33" s="523" t="n">
        <f aca="false">IF(AND(OR(A33="",A33="!!!!!!"),B33="",C33=""),"",IF(OR(AND(B33="",C33=""),ISERROR(C33+B33)),"!!!",($B33*$B$7+$C33*$C$7)/100))</f>
        <v>0.1624</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Bolboschoenus maritimus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19533</v>
      </c>
      <c r="R33" s="513" t="n">
        <f aca="false">IF(ISTEXT(H33),"",(B33*$B$7/100)+(C33*$C$7/100))</f>
        <v>0.1624</v>
      </c>
      <c r="S33" s="514" t="n">
        <f aca="false">IF(OR(ISTEXT(H33),R33=0),"",IF(R33&lt;0.1,1,IF(R33&lt;1,2,IF(R33&lt;10,3,IF(R33&lt;50,4,IF(R33&gt;=50,5,""))))))</f>
        <v>2</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BOLMAR</v>
      </c>
      <c r="Z33" s="499" t="n">
        <f aca="false">IF(ISERROR(MATCH(A33,'liste reference'!$A$6:$A$1174,0)),IF(ISERROR(MATCH(A33,'liste reference'!$B$6:$B$1174,0)),"",(MATCH(A33,'liste reference'!$B$6:$B$1174,0))),(MATCH(A33,'liste reference'!$A$6:$A$1174,0)))</f>
        <v>626</v>
      </c>
    </row>
    <row r="34" customFormat="false" ht="12.75" hidden="false" customHeight="false" outlineLevel="0" collapsed="false">
      <c r="A34" s="518" t="s">
        <v>2172</v>
      </c>
      <c r="B34" s="519" t="n">
        <v>0.07</v>
      </c>
      <c r="C34" s="520" t="n">
        <v>0.3</v>
      </c>
      <c r="D34" s="521" t="str">
        <f aca="false">IF(ISERROR(VLOOKUP($A34,'liste reference'!$A$6:$B$1174,2,0)),IF(ISERROR(VLOOKUP($A34,'liste reference'!$B$6:$B$1174,1,0)),"",VLOOKUP($A34,'liste reference'!$B$6:$B$1174,1,0)),VLOOKUP($A34,'liste reference'!$A$6:$B$1174,2,0))</f>
        <v>Phragmites australis</v>
      </c>
      <c r="E34" s="522" t="e">
        <f aca="false">IF(D34="",0,VLOOKUP(D34,D$22:D33,1,0))</f>
        <v>#N/A</v>
      </c>
      <c r="F34" s="523" t="n">
        <f aca="false">IF(AND(OR(A34="",A34="!!!!!!"),B34="",C34=""),"",IF(OR(AND(B34="",C34=""),ISERROR(C34+B34)),"!!!",($B34*$B$7+$C34*$C$7)/100))</f>
        <v>0.1068</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9</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Phragmites australis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1579</v>
      </c>
      <c r="R34" s="513" t="n">
        <f aca="false">IF(ISTEXT(H34),"",(B34*$B$7/100)+(C34*$C$7/100))</f>
        <v>0.1068</v>
      </c>
      <c r="S34" s="514" t="n">
        <f aca="false">IF(OR(ISTEXT(H34),R34=0),"",IF(R34&lt;0.1,1,IF(R34&lt;1,2,IF(R34&lt;10,3,IF(R34&lt;50,4,IF(R34&gt;=50,5,""))))))</f>
        <v>2</v>
      </c>
      <c r="T34" s="514" t="n">
        <f aca="false">IF(ISERROR(S34*J34),0,S34*J34)</f>
        <v>18</v>
      </c>
      <c r="U34" s="514" t="n">
        <f aca="false">IF(ISERROR(S34*J34*K34),0,S34*J34*K34)</f>
        <v>36</v>
      </c>
      <c r="V34" s="530" t="n">
        <f aca="false">IF(ISERROR(S34*K34),0,S34*K34)</f>
        <v>4</v>
      </c>
      <c r="W34" s="531"/>
      <c r="X34" s="532"/>
      <c r="Y34" s="517" t="str">
        <f aca="false">IF(AND(ISNUMBER(F34),OR(A34="",A34="!!!!!!")),"!!!!!!",IF(A34="new.cod","NEWCOD",IF(AND((Z34=""),ISTEXT(A34),A34&lt;&gt;"!!!!!!"),A34,IF(Z34="","",INDEX('liste reference'!$A$6:$A$1174,Z34)))))</f>
        <v>PHRAUS</v>
      </c>
      <c r="Z34" s="499" t="n">
        <f aca="false">IF(ISERROR(MATCH(A34,'liste reference'!$A$6:$A$1174,0)),IF(ISERROR(MATCH(A34,'liste reference'!$B$6:$B$1174,0)),"",(MATCH(A34,'liste reference'!$B$6:$B$1174,0))),(MATCH(A34,'liste reference'!$A$6:$A$1174,0)))</f>
        <v>709</v>
      </c>
    </row>
    <row r="35" customFormat="false" ht="12.75" hidden="false" customHeight="false" outlineLevel="0" collapsed="false">
      <c r="A35" s="518" t="s">
        <v>2333</v>
      </c>
      <c r="B35" s="519" t="n">
        <v>0.02</v>
      </c>
      <c r="C35" s="520" t="n">
        <v>0.05</v>
      </c>
      <c r="D35" s="521" t="str">
        <f aca="false">IF(ISERROR(VLOOKUP($A35,'liste reference'!$A$6:$B$1174,2,0)),IF(ISERROR(VLOOKUP($A35,'liste reference'!$B$6:$B$1174,1,0)),"",VLOOKUP($A35,'liste reference'!$B$6:$B$1174,1,0)),VLOOKUP($A35,'liste reference'!$A$6:$B$1174,2,0))</f>
        <v>Arundo donax</v>
      </c>
      <c r="E35" s="522" t="e">
        <f aca="false">IF(D35="",0,VLOOKUP(D35,D$22:D34,1,0))</f>
        <v>#N/A</v>
      </c>
      <c r="F35" s="523" t="n">
        <f aca="false">IF(AND(OR(A35="",A35="!!!!!!"),B35="",C35=""),"",IF(OR(AND(B35="",C35=""),ISERROR(C35+B35)),"!!!",($B35*$B$7+$C35*$C$7)/100))</f>
        <v>0.0248</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Arundo donax</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1551</v>
      </c>
      <c r="R35" s="513" t="n">
        <f aca="false">IF(ISTEXT(H35),"",(B35*$B$7/100)+(C35*$C$7/100))</f>
        <v>0.0248</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ARUDON</v>
      </c>
      <c r="Z35" s="499" t="n">
        <f aca="false">IF(ISERROR(MATCH(A35,'liste reference'!$A$6:$A$1174,0)),IF(ISERROR(MATCH(A35,'liste reference'!$B$6:$B$1174,0)),"",(MATCH(A35,'liste reference'!$B$6:$B$1174,0))),(MATCH(A35,'liste reference'!$A$6:$A$1174,0)))</f>
        <v>767</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6.2586</v>
      </c>
      <c r="G83" s="452"/>
      <c r="H83" s="452"/>
      <c r="I83" s="452"/>
      <c r="J83" s="452"/>
      <c r="K83" s="452"/>
      <c r="L83" s="452"/>
      <c r="M83" s="514"/>
      <c r="N83" s="514"/>
      <c r="O83" s="514"/>
      <c r="P83" s="514"/>
      <c r="Q83" s="514"/>
      <c r="R83" s="514"/>
      <c r="S83" s="514"/>
      <c r="T83" s="514"/>
      <c r="U83" s="514"/>
      <c r="V83" s="514" t="n">
        <f aca="false">SUM(V23:V82)</f>
        <v>18</v>
      </c>
      <c r="W83" s="514"/>
      <c r="X83" s="552"/>
      <c r="Y83" s="552"/>
      <c r="Z83" s="553"/>
    </row>
    <row r="84" customFormat="false" ht="12.75" hidden="true" customHeight="false" outlineLevel="0" collapsed="false">
      <c r="A84" s="547" t="str">
        <f aca="false">A3</f>
        <v>Var</v>
      </c>
      <c r="B84" s="481" t="str">
        <f aca="false">C3</f>
        <v>Nice</v>
      </c>
      <c r="C84" s="554" t="str">
        <f aca="false">A4</f>
        <v>(Date)</v>
      </c>
      <c r="D84" s="555" t="n">
        <f aca="false">IF(OR(ISERROR(SUM($U$23:$U$82)/SUM($V$23:$V$82)),F7&lt;&gt;100),-1,SUM($U$23:$U$82)/SUM($V$23:$V$82))</f>
        <v>9.27777777777778</v>
      </c>
      <c r="E84" s="556" t="n">
        <f aca="false">O13</f>
        <v>13</v>
      </c>
      <c r="F84" s="481" t="n">
        <f aca="false">O14</f>
        <v>10</v>
      </c>
      <c r="G84" s="481" t="n">
        <f aca="false">O15</f>
        <v>6</v>
      </c>
      <c r="H84" s="481" t="n">
        <f aca="false">O16</f>
        <v>4</v>
      </c>
      <c r="I84" s="481" t="n">
        <f aca="false">O17</f>
        <v>0</v>
      </c>
      <c r="J84" s="557" t="n">
        <f aca="false">O8</f>
        <v>9.6</v>
      </c>
      <c r="K84" s="558" t="n">
        <f aca="false">O9</f>
        <v>2.9732137494637</v>
      </c>
      <c r="L84" s="559" t="n">
        <f aca="false">O10</f>
        <v>5</v>
      </c>
      <c r="M84" s="559" t="n">
        <f aca="false">O11</f>
        <v>13</v>
      </c>
      <c r="N84" s="558" t="n">
        <f aca="false">P8</f>
        <v>1.4</v>
      </c>
      <c r="O84" s="558" t="n">
        <f aca="false">P9</f>
        <v>0.489897948556636</v>
      </c>
      <c r="P84" s="559" t="n">
        <f aca="false">P10</f>
        <v>1</v>
      </c>
      <c r="Q84" s="559" t="n">
        <f aca="false">P11</f>
        <v>2</v>
      </c>
      <c r="R84" s="559" t="n">
        <f aca="false">F21</f>
        <v>6.2586</v>
      </c>
      <c r="S84" s="559" t="n">
        <f aca="false">L11</f>
        <v>0</v>
      </c>
      <c r="T84" s="559" t="n">
        <f aca="false">L12</f>
        <v>6</v>
      </c>
      <c r="U84" s="559" t="n">
        <f aca="false">L13</f>
        <v>2</v>
      </c>
      <c r="V84" s="560" t="n">
        <f aca="false">L15</f>
        <v>4</v>
      </c>
      <c r="W84" s="561" t="n">
        <f aca="false">L15</f>
        <v>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18</v>
      </c>
      <c r="U87" s="309"/>
      <c r="V87" s="309"/>
    </row>
    <row r="88" customFormat="false" ht="12.75" hidden="true" customHeight="false" outlineLevel="0" collapsed="false">
      <c r="C88" s="563"/>
      <c r="D88" s="563"/>
      <c r="E88" s="563"/>
      <c r="R88" s="309" t="s">
        <v>3445</v>
      </c>
      <c r="S88" s="309"/>
      <c r="T88" s="565" t="n">
        <f aca="false">VLOOKUP($T$91,($A$23:$U$82),21,FALSE())</f>
        <v>36</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9.35714285714286</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PHRAUS</v>
      </c>
      <c r="U91" s="309" t="n">
        <f aca="false">IF(ISERROR(MATCH($T$93,'liste reference'!$A$6:$A$1174,0)),MATCH($T$93,'liste reference'!$B$6:$B$1174,0),(MATCH($T$93,'liste reference'!$A$6:$A$1174,0)))</f>
        <v>709</v>
      </c>
      <c r="V91" s="567"/>
    </row>
    <row r="92" customFormat="false" ht="12.75" hidden="true" customHeight="false" outlineLevel="0" collapsed="false">
      <c r="C92" s="563"/>
      <c r="D92" s="563"/>
      <c r="E92" s="563"/>
      <c r="R92" s="309" t="s">
        <v>3450</v>
      </c>
      <c r="S92" s="309"/>
      <c r="T92" s="309" t="n">
        <f aca="false">MATCH(T89,$V$23:$V$82,0)</f>
        <v>12</v>
      </c>
      <c r="U92" s="309"/>
    </row>
    <row r="93" customFormat="false" ht="12.75" hidden="true" customHeight="false" outlineLevel="0" collapsed="false">
      <c r="C93" s="563"/>
      <c r="D93" s="563"/>
      <c r="E93" s="563"/>
      <c r="R93" s="514" t="s">
        <v>3451</v>
      </c>
      <c r="S93" s="309"/>
      <c r="T93" s="514" t="str">
        <f aca="false">INDEX($A$23:$A$82,$T$92)</f>
        <v>PHRAUS</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3458</v>
      </c>
      <c r="G18" s="603"/>
      <c r="H18" s="602" t="s">
        <v>3458</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3475</v>
      </c>
      <c r="G20" s="8"/>
      <c r="H20" s="605" t="s">
        <v>3475</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3459</v>
      </c>
      <c r="G23" s="8"/>
      <c r="H23" s="605" t="s">
        <v>3459</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3462</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2016-01-27T17:40:25Z</cp:lastPrinted>
  <dcterms:modified xsi:type="dcterms:W3CDTF">2016-04-14T14:24:26Z</dcterms:modified>
  <cp:revision>0</cp:revision>
  <dc:subject/>
  <dc:title>Feuille d'aide au calcul de l'IBMR</dc:title>
</cp:coreProperties>
</file>