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Restonica a Corte"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'Restonica a Corte'!$A$1:$O$82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'Restonica a Corte'!$A$23:$J$84</definedName>
    <definedName function="false" hidden="false" localSheetId="5" name="NOM" vbProcedure="false">'Restonica a Corte'!$H$1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<sst xmlns="http://schemas.openxmlformats.org/spreadsheetml/2006/main" count="7368" uniqueCount="3128">
  <si>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</si>
  <si>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</si>
  <si>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</si>
  <si>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</si>
  <si>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</si>
  <si>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</si>
  <si>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</si>
  <si>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</si>
  <si>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</si>
  <si>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</si>
  <si>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</si>
  <si>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</si>
  <si>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</si>
  <si>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</si>
  <si>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</si>
  <si>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</si>
  <si>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</si>
  <si>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</si>
  <si>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</si>
  <si>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</si>
  <si>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</si>
  <si>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</si>
  <si>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</si>
  <si>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</si>
  <si>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</si>
  <si>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</si>
  <si>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</si>
  <si>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</si>
  <si>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</si>
  <si>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</si>
  <si>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</si>
  <si>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</si>
  <si>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</si>
  <si>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</si>
  <si>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</si>
  <si>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</si>
  <si>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</si>
  <si>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</si>
  <si>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</si>
  <si>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</si>
  <si>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</si>
  <si>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</si>
  <si>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</si>
  <si>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</si>
  <si>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</si>
  <si>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</si>
  <si>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</si>
  <si>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</si>
  <si>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</si>
  <si>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</si>
  <si>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</si>
  <si>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</si>
  <si>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</si>
  <si>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</si>
  <si>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</si>
  <si>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</si>
  <si>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</si>
  <si>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</si>
  <si>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</si>
  <si>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</si>
  <si>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</si>
  <si>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</si>
  <si>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</si>
  <si>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</si>
  <si>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</si>
  <si>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</si>
  <si>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</si>
  <si>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</si>
  <si>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</si>
  <si>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</si>
  <si>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</si>
  <si>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</si>
  <si>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</si>
  <si>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</si>
  <si>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</si>
  <si>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</si>
  <si>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</si>
  <si>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</si>
  <si>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</si>
  <si>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</si>
  <si>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</si>
  <si>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</si>
  <si>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</si>
  <si>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</si>
  <si>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</si>
  <si>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</si>
  <si>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</si>
  <si>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</si>
  <si>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</si>
  <si>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</si>
  <si>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</si>
  <si>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</si>
  <si>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</si>
  <si>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</si>
  <si>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</si>
  <si>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</si>
  <si>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</si>
  <si>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</si>
  <si>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</si>
  <si>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</si>
  <si>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</si>
  <si>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</si>
  <si>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</si>
  <si>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</si>
  <si>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</si>
  <si>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</si>
  <si>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</si>
  <si>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</si>
  <si>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</si>
  <si>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</si>
  <si>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</si>
  <si>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</si>
  <si>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</si>
  <si>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</si>
  <si>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</si>
  <si>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</si>
  <si>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</si>
  <si>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</si>
  <si>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</si>
  <si>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</si>
  <si>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</si>
  <si>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</si>
  <si>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</si>
  <si>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</si>
  <si>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</si>
  <si>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</si>
  <si>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</si>
  <si>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</si>
  <si>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</si>
  <si>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</si>
  <si>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</si>
  <si>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</si>
  <si>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</si>
  <si>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</si>
  <si>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</si>
  <si>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</si>
  <si>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</si>
  <si>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</si>
  <si>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</si>
  <si>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</si>
  <si>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</si>
  <si>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</si>
  <si>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</si>
  <si>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</si>
  <si>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</si>
  <si>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</si>
  <si>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</si>
  <si>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</si>
  <si>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</si>
  <si>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</si>
  <si>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</si>
  <si>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</si>
  <si>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</si>
  <si>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</si>
  <si>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</si>
  <si>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</si>
  <si>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</si>
  <si>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</si>
  <si>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</si>
  <si>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</si>
  <si>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</si>
  <si>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</si>
  <si>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</si>
  <si>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</si>
  <si>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</si>
  <si>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</si>
  <si>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</si>
  <si>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</si>
  <si>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</si>
  <si>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</si>
  <si>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</si>
  <si>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</si>
  <si>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</si>
  <si>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</si>
  <si>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</si>
  <si>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</si>
  <si>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</si>
  <si>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</si>
  <si>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</si>
  <si>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</si>
  <si>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</si>
  <si>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</si>
  <si>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</si>
  <si>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</si>
  <si>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</si>
  <si>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</si>
  <si>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</si>
  <si>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</si>
  <si>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</si>
  <si>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</si>
  <si>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</si>
  <si>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</si>
  <si>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</si>
  <si>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</si>
  <si>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</si>
  <si>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</si>
  <si>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</si>
  <si>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</si>
  <si>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</si>
  <si>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</si>
  <si>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</si>
  <si>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</si>
  <si>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</si>
  <si>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</si>
  <si>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</si>
  <si>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</si>
  <si>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</si>
  <si>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</si>
  <si>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</si>
  <si>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</si>
  <si>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</si>
  <si>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</si>
  <si>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</si>
  <si>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</si>
  <si>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</si>
  <si>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</si>
  <si>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</si>
  <si>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</si>
  <si>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</si>
  <si>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</si>
  <si>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</si>
  <si>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</si>
  <si>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</si>
  <si>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</si>
  <si>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</si>
  <si>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</si>
  <si>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</si>
  <si>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</si>
  <si>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</si>
  <si>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</si>
  <si>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</si>
  <si>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</si>
  <si>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</si>
  <si>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</si>
  <si>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</si>
  <si>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</si>
  <si>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</si>
  <si>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</si>
  <si>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</si>
  <si>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</si>
  <si>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</si>
  <si>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</si>
  <si>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</si>
  <si>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</si>
  <si>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</si>
  <si>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</si>
  <si>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</si>
  <si>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</si>
  <si>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</si>
  <si>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</si>
  <si>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</si>
  <si>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</si>
  <si>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</si>
  <si>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</si>
  <si>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</si>
  <si>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</si>
  <si>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</si>
  <si>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</si>
  <si>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</si>
  <si>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</si>
  <si>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</si>
  <si>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</si>
  <si>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</si>
  <si>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</si>
  <si>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</si>
  <si>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</si>
  <si>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</si>
  <si>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</si>
  <si>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</si>
  <si>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</si>
  <si>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</si>
  <si>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</si>
  <si>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</si>
  <si>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</si>
  <si>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</si>
  <si>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</si>
  <si>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</si>
  <si>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</si>
  <si>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</si>
  <si>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</si>
  <si>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</si>
  <si>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</si>
  <si>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</si>
  <si>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</si>
  <si>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</si>
  <si>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</si>
  <si>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</si>
  <si>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</si>
  <si>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</si>
  <si>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</si>
  <si>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</si>
  <si>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</si>
  <si>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</si>
  <si>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</si>
  <si>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</si>
  <si>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</si>
  <si>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</si>
  <si>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</si>
  <si>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</si>
  <si>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</si>
  <si>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</si>
  <si>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</si>
  <si>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</si>
  <si>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</si>
  <si>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</si>
  <si>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</si>
  <si>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</si>
  <si>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</si>
  <si>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</si>
  <si>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</si>
  <si>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</si>
  <si>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</si>
  <si>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</si>
  <si>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</si>
  <si>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</si>
  <si>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</si>
  <si>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</si>
  <si>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</si>
  <si>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</si>
  <si>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</si>
  <si>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</si>
  <si>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</si>
  <si>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</si>
  <si>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</si>
  <si>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</si>
  <si>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</si>
  <si>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</si>
  <si>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</si>
  <si>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</si>
  <si>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</si>
  <si>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</si>
  <si>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</si>
  <si>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</si>
  <si>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</si>
  <si>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</si>
  <si>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</si>
  <si>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</si>
  <si>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</si>
  <si>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</si>
  <si>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</si>
  <si>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</si>
  <si>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</si>
  <si>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</si>
  <si>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</si>
  <si>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</si>
  <si>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</si>
  <si>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</si>
  <si>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</si>
  <si>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</si>
  <si>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</si>
  <si>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</si>
  <si>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</si>
  <si>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</si>
  <si>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</si>
  <si>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</si>
  <si>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</si>
  <si>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</si>
  <si>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</si>
  <si>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</si>
  <si>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</si>
  <si>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</si>
  <si>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</si>
  <si>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</si>
  <si>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</si>
  <si>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</si>
  <si>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</si>
  <si>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</si>
  <si>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</si>
  <si>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</si>
  <si>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</si>
  <si>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</si>
  <si>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</si>
  <si>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</si>
  <si>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</si>
  <si>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</si>
  <si>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</si>
  <si>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</si>
  <si>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</si>
  <si>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</si>
  <si>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</si>
  <si>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</si>
  <si>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</si>
  <si>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</si>
  <si>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</si>
  <si>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</si>
  <si>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</si>
  <si>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</si>
  <si>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</si>
  <si>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</si>
  <si>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</si>
  <si>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</si>
  <si>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</si>
  <si>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</si>
  <si>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</si>
  <si>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</si>
  <si>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</si>
  <si>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</si>
  <si>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</si>
  <si>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</si>
  <si>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</si>
  <si>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</si>
  <si>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</si>
  <si>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</si>
  <si>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</si>
  <si>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</si>
  <si>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</si>
  <si>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</si>
  <si>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</si>
  <si>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</si>
  <si>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</si>
  <si>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</si>
  <si>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</si>
  <si>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</si>
  <si>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</si>
  <si>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</si>
  <si>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</si>
  <si>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</si>
  <si>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</si>
  <si>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</si>
  <si>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</si>
  <si>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</si>
  <si>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</si>
  <si>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</si>
  <si>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</si>
  <si>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</si>
  <si>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</si>
  <si>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</si>
  <si>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</si>
  <si>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</si>
  <si>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</si>
  <si>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</si>
  <si>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</si>
  <si>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</si>
  <si>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</si>
  <si>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</si>
  <si>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</si>
  <si>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</si>
  <si>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</si>
  <si>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</si>
  <si>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</si>
  <si>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</si>
  <si>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</si>
  <si>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</si>
  <si>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</si>
  <si>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</si>
  <si>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</si>
  <si>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</si>
  <si>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</si>
  <si>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</si>
  <si>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</si>
  <si>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</si>
  <si>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</si>
  <si>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</si>
  <si>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</si>
  <si>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</si>
  <si>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</si>
  <si>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</si>
  <si>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</si>
  <si>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</si>
  <si>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</si>
  <si>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</si>
  <si>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</si>
  <si>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</si>
  <si>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</si>
  <si>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</si>
  <si>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</si>
  <si>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</si>
  <si>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</si>
  <si>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</si>
  <si>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</si>
  <si>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</si>
  <si>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</si>
  <si>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</si>
  <si>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</si>
  <si>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</si>
  <si>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</si>
  <si>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</si>
  <si>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</si>
  <si>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</si>
  <si>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</si>
  <si>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</si>
  <si>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</si>
  <si>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</si>
  <si>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</si>
  <si>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</si>
  <si>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</si>
  <si>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</si>
  <si>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</si>
  <si>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</si>
  <si>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</si>
  <si>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</si>
  <si>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</si>
  <si>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</si>
  <si>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</si>
  <si>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</si>
  <si>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</si>
  <si>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</si>
  <si>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</si>
  <si>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</si>
  <si>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</si>
  <si>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</si>
  <si>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</si>
  <si>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</si>
  <si>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</si>
  <si>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</si>
  <si>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</si>
  <si>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</si>
  <si>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</si>
  <si>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</si>
  <si>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</si>
  <si>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</si>
  <si>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</si>
  <si>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</si>
  <si>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</si>
  <si>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</si>
  <si>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</si>
  <si>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</si>
  <si>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</si>
  <si>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</si>
  <si>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</si>
  <si>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</si>
  <si>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</si>
  <si>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</si>
  <si>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</si>
  <si>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</si>
  <si>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</si>
  <si>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</si>
  <si>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</si>
  <si>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</si>
  <si>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</si>
  <si>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</si>
  <si>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</si>
  <si>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</si>
  <si>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</si>
  <si>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</si>
  <si>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</si>
  <si>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</si>
  <si>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</si>
  <si>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</si>
  <si>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</si>
  <si>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</si>
  <si>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</si>
  <si>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</si>
  <si>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</si>
  <si>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</si>
  <si>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</si>
  <si>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</si>
  <si>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</si>
  <si>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</si>
  <si>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</si>
  <si>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</si>
  <si>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</si>
  <si>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</si>
  <si>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</si>
  <si>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</si>
  <si>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</si>
  <si>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</si>
  <si>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</si>
  <si>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</si>
  <si>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</si>
  <si>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</si>
  <si>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</si>
  <si>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</si>
  <si>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</si>
  <si>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</si>
  <si>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</si>
  <si>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</si>
  <si>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</si>
  <si>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</si>
  <si>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</si>
  <si>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</si>
  <si>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</si>
  <si>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</si>
  <si>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</si>
  <si>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</si>
  <si>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</si>
  <si>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</si>
  <si>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</si>
  <si>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</si>
  <si>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</si>
  <si>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</si>
  <si>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</si>
  <si>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</si>
  <si>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</si>
  <si>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</si>
  <si>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</si>
  <si>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</si>
  <si>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</si>
  <si>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</si>
  <si>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</si>
  <si>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</si>
  <si>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</si>
  <si>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</si>
  <si>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</si>
  <si>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</si>
  <si>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</si>
  <si>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</si>
  <si>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</si>
  <si>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</si>
  <si>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</si>
  <si>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</si>
  <si>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</si>
  <si>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</si>
  <si>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</si>
  <si>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</si>
  <si>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</si>
  <si>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</si>
  <si>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</si>
  <si>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</si>
  <si>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</si>
  <si>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</si>
  <si>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</si>
  <si>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</si>
  <si>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</si>
  <si>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</si>
  <si>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</si>
  <si>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</si>
  <si>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</si>
  <si>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</si>
  <si>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</si>
  <si>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</si>
  <si>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</si>
  <si>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</si>
  <si>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</si>
  <si>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</si>
  <si>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</si>
  <si>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</si>
  <si>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</si>
  <si>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</si>
  <si>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</si>
  <si>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</si>
  <si>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</si>
  <si>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</si>
  <si>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</si>
  <si>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</si>
  <si>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</si>
  <si>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</si>
  <si>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</si>
  <si>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</si>
  <si>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</si>
  <si>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</si>
  <si>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</si>
  <si>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</si>
  <si>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</si>
  <si>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</si>
  <si>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</si>
  <si>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</si>
  <si>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</si>
  <si>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</si>
  <si>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</si>
  <si>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</si>
  <si>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</si>
  <si>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</si>
  <si>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</si>
  <si>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</si>
  <si>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</si>
  <si>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</si>
  <si>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</si>
  <si>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</si>
  <si>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</si>
  <si>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</si>
  <si>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</si>
  <si>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</si>
  <si>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</si>
  <si>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</si>
  <si>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</si>
  <si>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</si>
  <si>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</si>
  <si>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</si>
  <si>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</si>
  <si>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</si>
  <si>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</si>
  <si>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</si>
  <si>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</si>
  <si>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</si>
  <si>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</si>
  <si>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</si>
  <si>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</si>
  <si>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</si>
  <si>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</si>
  <si>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</si>
  <si>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</si>
  <si>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</si>
  <si>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</si>
  <si>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</si>
  <si>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</si>
  <si>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</si>
  <si>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</si>
  <si>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</si>
  <si>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</si>
  <si>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</si>
  <si>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</si>
  <si>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</si>
  <si>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</si>
  <si>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</si>
  <si>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</si>
  <si>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</si>
  <si>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</si>
  <si>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</si>
  <si>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</si>
  <si>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</si>
  <si>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</si>
  <si>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</si>
  <si>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</si>
  <si>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</si>
  <si>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</si>
  <si>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</si>
  <si>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</si>
  <si>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</si>
  <si>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</si>
  <si>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</si>
  <si>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</si>
  <si>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</si>
  <si>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</si>
  <si>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</si>
  <si>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</si>
  <si>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</si>
  <si>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</si>
  <si>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</si>
  <si>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</si>
  <si>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</si>
  <si>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</si>
  <si>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</si>
  <si>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</si>
  <si>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</si>
  <si>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</si>
  <si>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</si>
  <si>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</si>
  <si>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</si>
  <si>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</si>
  <si>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</si>
  <si>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</si>
  <si>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</si>
  <si>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</si>
  <si>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</si>
  <si>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</si>
  <si>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</si>
  <si>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</si>
  <si>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</si>
  <si>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</si>
  <si>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</si>
  <si>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</si>
  <si>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</si>
  <si>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</si>
  <si>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</si>
  <si>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</si>
  <si>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</si>
  <si>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</si>
  <si>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</si>
  <si>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</si>
  <si>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</si>
  <si>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</si>
  <si>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</si>
  <si>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</si>
  <si>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</si>
  <si>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</si>
  <si>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</si>
  <si>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</si>
  <si>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</si>
  <si>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</si>
  <si>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</si>
  <si>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</si>
  <si>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</si>
  <si>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</si>
  <si>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</si>
  <si>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</si>
  <si>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</si>
  <si>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</si>
  <si>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</si>
  <si>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</si>
  <si>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</si>
  <si>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</si>
  <si>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</si>
  <si>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</si>
  <si>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</si>
  <si>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</si>
  <si>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</si>
  <si>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</si>
  <si>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</si>
  <si>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</si>
  <si>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</si>
  <si>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</si>
  <si>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</si>
  <si>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</si>
  <si>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</si>
  <si>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</si>
  <si>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</si>
  <si>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</si>
  <si>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</si>
  <si>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</si>
  <si>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</si>
  <si>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</si>
  <si>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</si>
  <si>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</si>
  <si>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</si>
  <si>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</si>
  <si>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</si>
  <si>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</si>
  <si>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</si>
  <si>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</si>
  <si>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</si>
  <si>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</si>
  <si>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</si>
  <si>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</si>
  <si>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</si>
  <si>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</si>
  <si>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</si>
  <si>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</si>
  <si>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</si>
  <si>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</si>
  <si>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</si>
  <si>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</si>
  <si>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</si>
  <si>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</si>
  <si>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</si>
  <si>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</si>
  <si>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</si>
  <si>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</si>
  <si>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</si>
  <si>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</si>
  <si>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</si>
  <si>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</si>
  <si>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</si>
  <si>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</si>
  <si>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</si>
  <si>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</si>
  <si>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</si>
  <si>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</si>
  <si>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</si>
  <si>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</si>
  <si>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</si>
  <si>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</si>
  <si>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</si>
  <si>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</si>
  <si>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</si>
  <si>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</si>
  <si>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</si>
  <si>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</si>
  <si>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</si>
  <si>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</si>
  <si>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</si>
  <si>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</si>
  <si>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</si>
  <si>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</si>
  <si>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</si>
  <si>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</si>
  <si>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</si>
  <si>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</si>
  <si>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</si>
  <si>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</si>
  <si>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</si>
  <si>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</si>
  <si>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</si>
  <si>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</si>
  <si>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</si>
  <si>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</si>
  <si>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</si>
  <si>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</si>
  <si>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</si>
  <si>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</si>
  <si>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</si>
  <si>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</si>
  <si>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</si>
  <si>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</si>
  <si>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</si>
  <si>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</si>
  <si>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</si>
  <si>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</si>
  <si>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</si>
  <si>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</si>
  <si>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</si>
  <si>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</si>
  <si>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</si>
  <si>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</si>
  <si>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</si>
  <si>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</si>
  <si>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</si>
  <si>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</si>
  <si>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</si>
  <si>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</si>
  <si>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</si>
  <si>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</si>
  <si>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</si>
  <si>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</si>
  <si>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</si>
  <si>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</si>
  <si>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</si>
  <si>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</si>
  <si>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</si>
  <si>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</si>
  <si>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</si>
  <si>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</si>
  <si>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</si>
  <si>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</si>
  <si>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</si>
  <si>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</si>
  <si>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</si>
  <si>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</si>
  <si>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</si>
  <si>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</si>
  <si>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</si>
  <si>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</si>
  <si>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</si>
  <si>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</si>
  <si>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</si>
  <si>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</si>
  <si>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</si>
  <si>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</si>
  <si>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</si>
  <si>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</si>
  <si>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</si>
  <si>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</si>
  <si>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</si>
  <si>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</si>
  <si>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</si>
  <si>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</si>
  <si>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</si>
  <si>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</si>
  <si>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</si>
  <si>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</si>
  <si>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</si>
  <si>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</si>
  <si>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</si>
  <si>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</si>
  <si>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</si>
  <si>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</si>
  <si>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</si>
  <si>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</si>
  <si>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</si>
  <si>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</si>
  <si>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</si>
  <si>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</si>
  <si>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</si>
  <si>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</si>
  <si>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</si>
  <si>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</si>
  <si>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</si>
  <si>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</si>
  <si>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</si>
  <si>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</si>
  <si>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</si>
  <si>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</si>
  <si>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</si>
  <si>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</si>
  <si>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</si>
  <si>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</si>
  <si>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</si>
  <si>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</si>
  <si>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</si>
  <si>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</si>
  <si>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</si>
  <si>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</si>
  <si>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</si>
  <si>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</si>
  <si>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</si>
  <si>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</si>
  <si>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</si>
  <si>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</si>
  <si>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</si>
  <si>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</si>
  <si>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</si>
  <si>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</si>
  <si>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</si>
  <si>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</si>
  <si>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</si>
  <si>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</si>
  <si>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</si>
  <si>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</si>
  <si>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</si>
  <si>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</si>
  <si>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</si>
  <si>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</si>
  <si>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</si>
  <si>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</si>
  <si>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</si>
  <si>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</si>
  <si>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</si>
  <si>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</si>
  <si>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</si>
  <si>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</si>
  <si>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</si>
  <si>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</si>
  <si>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</si>
  <si>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</si>
  <si>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</si>
  <si>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</si>
  <si>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</si>
  <si>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</si>
  <si>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</si>
  <si>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</si>
  <si>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</si>
  <si>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</si>
  <si>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</si>
  <si>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</si>
  <si>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</si>
  <si>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</si>
  <si>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</si>
  <si>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</si>
  <si>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</si>
  <si>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</si>
  <si>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</si>
  <si>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</si>
  <si>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</si>
  <si>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</si>
  <si>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</si>
  <si>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</si>
  <si>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</si>
  <si>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</si>
  <si>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</si>
  <si>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</si>
  <si>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</si>
  <si>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</si>
  <si>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</si>
  <si>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</si>
  <si>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</si>
  <si>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</si>
  <si>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</si>
  <si>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</si>
  <si>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</si>
  <si>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</si>
  <si>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</si>
  <si>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</si>
  <si>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</si>
  <si>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</si>
  <si>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</si>
  <si>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</si>
  <si>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</si>
  <si>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</si>
  <si>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</si>
  <si>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</si>
  <si>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</si>
  <si>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</si>
  <si>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</si>
  <si>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</si>
  <si>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</si>
  <si>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</si>
  <si>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</si>
  <si>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</si>
  <si>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</si>
  <si>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</si>
  <si>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</si>
  <si>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</si>
  <si>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</si>
  <si>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</si>
  <si>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</si>
  <si>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</si>
  <si>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</si>
  <si>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</si>
  <si>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</si>
  <si>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</si>
  <si>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</si>
  <si>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</si>
  <si>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</si>
  <si>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</si>
  <si>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</si>
  <si>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</si>
  <si>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</si>
  <si>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</si>
  <si>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</si>
  <si>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</si>
  <si>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</si>
  <si>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</si>
  <si>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</si>
  <si>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</si>
  <si>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</si>
  <si>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</si>
  <si>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</si>
  <si>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</si>
  <si>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</si>
  <si>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</si>
  <si>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</si>
  <si>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</si>
  <si>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</si>
  <si>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</si>
  <si>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</si>
  <si>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</si>
  <si>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</si>
  <si>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</si>
  <si>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</si>
  <si>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</si>
  <si>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</si>
  <si>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</si>
  <si>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</si>
  <si>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</si>
  <si>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</si>
  <si>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</si>
  <si>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</si>
  <si>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</si>
  <si>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</si>
  <si>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</si>
  <si>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</si>
  <si>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</si>
  <si>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</si>
  <si>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</si>
  <si>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</si>
  <si>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</si>
  <si>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</si>
  <si>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</si>
  <si>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</si>
  <si>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</si>
  <si>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</si>
  <si>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</si>
  <si>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</si>
  <si>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</si>
  <si>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</si>
  <si>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</si>
  <si>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</si>
  <si>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</si>
  <si>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</si>
  <si>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</si>
  <si>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</si>
  <si>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</si>
  <si>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</si>
  <si>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</si>
  <si>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</si>
  <si>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</si>
  <si>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</si>
  <si>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</si>
  <si>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</si>
  <si>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</si>
  <si>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</si>
  <si>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</si>
  <si>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</si>
  <si>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</si>
  <si>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</si>
  <si>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</si>
  <si>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</si>
  <si>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</si>
  <si>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</si>
  <si>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</si>
  <si>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</si>
  <si>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</si>
  <si>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</si>
  <si>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</si>
  <si>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</si>
  <si>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</si>
  <si>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</si>
  <si>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</si>
  <si>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</si>
  <si>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</si>
  <si>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</si>
  <si>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</si>
  <si>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</si>
  <si>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</si>
  <si>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</si>
  <si>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</si>
  <si>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</si>
  <si>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</si>
  <si>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</si>
  <si>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</si>
  <si>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</si>
  <si>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</si>
  <si>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</si>
  <si>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</si>
  <si>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</si>
  <si>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</si>
  <si>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</si>
  <si>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</si>
  <si>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</si>
  <si>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</si>
  <si>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</si>
  <si>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</si>
  <si>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</si>
  <si>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</si>
  <si>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</si>
  <si>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</si>
  <si>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</si>
  <si>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</si>
  <si>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</si>
  <si>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</si>
  <si>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</si>
  <si>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</si>
  <si>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</si>
  <si>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</si>
  <si>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</si>
  <si>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</si>
  <si>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</si>
  <si>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</si>
  <si>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</si>
  <si>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</si>
  <si>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</si>
  <si>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</si>
  <si>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</si>
  <si>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</si>
  <si>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</si>
  <si>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</si>
  <si>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</si>
  <si>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</si>
  <si>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</si>
  <si>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</si>
  <si>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</si>
  <si>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</si>
  <si>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</si>
  <si>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</si>
  <si>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</si>
  <si>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</si>
  <si>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</si>
  <si>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</si>
  <si>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</si>
  <si>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</si>
  <si>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</si>
  <si>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</si>
  <si>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</si>
  <si>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</si>
  <si>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</si>
  <si>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</si>
  <si>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</si>
  <si>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</si>
  <si>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</si>
  <si>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</si>
  <si>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</si>
  <si>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</si>
  <si>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</si>
  <si>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</si>
  <si>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</si>
  <si>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</si>
  <si>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</si>
  <si>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</si>
  <si>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</si>
  <si>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</si>
  <si>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</si>
  <si>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</si>
  <si>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</si>
  <si>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</si>
  <si>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</si>
  <si>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</si>
  <si>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</si>
  <si>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</si>
  <si>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</si>
  <si>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</si>
  <si>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</si>
  <si>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</si>
  <si>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</si>
  <si>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</si>
  <si>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</si>
  <si>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</si>
  <si>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</si>
  <si>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</si>
  <si>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</si>
  <si>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</si>
  <si>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</si>
  <si>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</si>
  <si>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</si>
  <si>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</si>
  <si>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</si>
  <si>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</si>
  <si>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</si>
  <si>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</si>
  <si>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</si>
  <si>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</si>
  <si>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</si>
  <si>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</si>
  <si>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</si>
  <si>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</si>
  <si>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</si>
  <si>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</si>
  <si>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</si>
  <si>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</si>
  <si>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</si>
  <si>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</si>
  <si>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</si>
  <si>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</si>
  <si>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</si>
  <si>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</si>
  <si>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</si>
  <si>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</si>
  <si>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</si>
  <si>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</si>
  <si>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</si>
  <si>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</si>
  <si>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</si>
  <si>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</si>
  <si>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</si>
  <si>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</si>
  <si>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</si>
  <si>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</si>
  <si>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</si>
  <si>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</si>
  <si>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</si>
  <si>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</si>
  <si>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</si>
  <si>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</si>
  <si>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</si>
  <si>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</si>
  <si>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</si>
  <si>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</si>
  <si>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</si>
  <si>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</si>
  <si>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</si>
  <si>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</si>
  <si>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</si>
  <si>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</si>
  <si>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</si>
  <si>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</si>
  <si>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</si>
  <si>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</si>
  <si>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</si>
  <si>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</si>
  <si>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</si>
  <si>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</si>
  <si>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</si>
  <si>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</si>
  <si>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</si>
  <si>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</si>
  <si>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</si>
  <si>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</si>
  <si>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</si>
  <si>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</si>
  <si>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</si>
  <si>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</si>
  <si>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</si>
  <si>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</si>
  <si>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</si>
  <si>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</si>
  <si>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</si>
  <si>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</si>
  <si>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</si>
  <si>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</si>
  <si>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</si>
  <si>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</si>
  <si>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</si>
  <si>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</si>
  <si>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</si>
  <si>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</si>
  <si>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</si>
  <si>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</si>
  <si>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</si>
  <si>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</si>
  <si>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</si>
  <si>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</si>
  <si>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</si>
  <si>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</si>
  <si>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</si>
  <si>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</si>
  <si>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</si>
  <si>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</si>
  <si>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</si>
  <si>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</si>
  <si>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</si>
  <si>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</si>
  <si>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</si>
  <si>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</si>
  <si>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</si>
  <si>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</si>
  <si>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</si>
  <si>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</si>
  <si>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</si>
  <si>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</si>
  <si>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</si>
  <si>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</si>
  <si>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</si>
  <si>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</si>
  <si>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</si>
  <si>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</si>
  <si>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</si>
  <si>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</si>
  <si>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</si>
  <si>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</si>
  <si>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</si>
  <si>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</si>
  <si>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</si>
  <si>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</si>
  <si>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</si>
  <si>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</si>
  <si>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</si>
  <si>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</si>
  <si>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</si>
  <si>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</si>
  <si>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</si>
  <si>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</si>
  <si>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</si>
  <si>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</si>
  <si>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</si>
  <si>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</si>
  <si>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</si>
  <si>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</si>
  <si>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</si>
  <si>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</si>
  <si>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</si>
  <si>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</si>
  <si>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</si>
  <si>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</si>
  <si>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</si>
  <si>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</si>
  <si>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</si>
  <si>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</si>
  <si>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</si>
  <si>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</si>
  <si>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</si>
  <si>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</si>
  <si>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</si>
  <si>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</si>
  <si>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</si>
  <si>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</si>
  <si>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</si>
  <si>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</si>
  <si>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</si>
  <si>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</si>
  <si>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</si>
  <si>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</si>
  <si>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</si>
  <si>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</si>
  <si>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</si>
  <si>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</si>
  <si>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</si>
  <si>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</si>
  <si>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</si>
  <si>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</si>
  <si>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</si>
  <si>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</si>
  <si>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</si>
  <si>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</si>
  <si>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</si>
  <si>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</si>
  <si>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</si>
  <si>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</si>
  <si>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</si>
  <si>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</si>
  <si>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</si>
  <si>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</si>
  <si>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</si>
  <si>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</si>
  <si>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</si>
  <si>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</si>
  <si>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</si>
  <si>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</si>
  <si>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</si>
  <si>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</si>
  <si>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</si>
  <si>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</si>
  <si>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</si>
  <si>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</si>
  <si>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</si>
  <si>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</si>
  <si>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</si>
  <si>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</si>
  <si>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</si>
  <si>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</si>
  <si>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</si>
  <si>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</si>
  <si>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</si>
  <si>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</si>
  <si>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</si>
  <si>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</si>
  <si>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</si>
  <si>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</si>
  <si>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</si>
  <si>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</si>
  <si>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</si>
  <si>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</si>
  <si>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</si>
  <si>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</si>
  <si>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</si>
  <si>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</si>
  <si>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</si>
  <si>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</si>
  <si>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</si>
  <si>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</si>
  <si>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</si>
  <si>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</si>
  <si>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</si>
  <si>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</si>
  <si>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</si>
  <si>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</si>
  <si>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</si>
  <si>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</si>
  <si>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</si>
  <si>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</si>
  <si>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</si>
  <si>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</si>
  <si>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</si>
  <si>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</si>
  <si>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</si>
  <si>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</si>
  <si>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</si>
  <si>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</si>
  <si>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</si>
  <si>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</si>
  <si>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</si>
  <si>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</si>
  <si>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</si>
  <si>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</si>
  <si>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</si>
  <si>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</si>
  <si>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</si>
  <si>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</si>
  <si>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</si>
  <si>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</si>
  <si>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</si>
  <si>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</si>
  <si>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</si>
  <si>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</si>
  <si>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</si>
  <si>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</si>
  <si>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</si>
  <si>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</si>
  <si>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</si>
  <si>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</si>
  <si>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</si>
  <si>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</si>
  <si>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</si>
  <si>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</si>
  <si>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</si>
  <si>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</si>
  <si>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</si>
  <si>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</si>
  <si>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</si>
  <si>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</si>
  <si>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</si>
  <si>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</si>
  <si>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</si>
  <si>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</si>
  <si>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</si>
  <si>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</si>
  <si>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</si>
  <si>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</si>
  <si>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</si>
  <si>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</si>
  <si>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</si>
  <si>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</si>
  <si>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</si>
  <si>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</si>
  <si>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</si>
  <si>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</si>
  <si>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</si>
  <si>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</si>
  <si>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</si>
  <si>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</si>
  <si>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</si>
  <si>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</si>
  <si>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</si>
  <si>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</si>
  <si>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</si>
  <si>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</si>
  <si>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</si>
  <si>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</si>
  <si>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</si>
  <si>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</si>
  <si>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</si>
  <si>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</si>
  <si>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</si>
  <si>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</si>
  <si>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</si>
  <si>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</si>
  <si>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</si>
  <si>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</si>
  <si>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</si>
  <si>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</si>
  <si>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</si>
  <si>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</si>
  <si>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</si>
  <si>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</si>
  <si>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</si>
  <si>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</si>
  <si>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</si>
  <si>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</si>
  <si>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</si>
  <si>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</si>
  <si>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</si>
  <si>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</si>
  <si>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</si>
  <si>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</si>
  <si>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</si>
  <si>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</si>
  <si>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</si>
  <si>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</si>
  <si>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</si>
  <si>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</si>
  <si>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</si>
  <si>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</si>
  <si>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</si>
  <si>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</si>
  <si>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</si>
  <si>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</si>
  <si>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</si>
  <si>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</si>
  <si>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</si>
  <si>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</si>
  <si>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</si>
  <si>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</si>
  <si>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</si>
  <si>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</si>
  <si>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</si>
  <si>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</si>
  <si>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</si>
  <si>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</si>
  <si>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</si>
  <si>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</si>
  <si>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</si>
  <si>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</si>
  <si>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</si>
  <si>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</si>
  <si>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</si>
  <si>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</si>
  <si>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</si>
  <si>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</si>
  <si>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</si>
  <si>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</si>
  <si>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</si>
  <si>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</si>
  <si>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</si>
  <si>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</si>
  <si>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</si>
  <si>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</si>
  <si>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</si>
  <si>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</si>
  <si>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</si>
  <si>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</si>
  <si>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</si>
  <si>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</si>
  <si>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</si>
  <si>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</si>
  <si>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</si>
  <si>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</si>
  <si>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</si>
  <si>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</si>
  <si>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</si>
  <si>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</si>
  <si>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</si>
  <si>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</si>
  <si>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</si>
  <si>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</si>
  <si>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</si>
  <si>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</si>
  <si>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</si>
  <si>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</si>
  <si>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</si>
  <si>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</si>
  <si>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</si>
  <si>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</si>
  <si>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</si>
  <si>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</si>
  <si>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</si>
  <si>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</si>
  <si>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</si>
  <si>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</si>
  <si>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</si>
  <si>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</si>
  <si>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</si>
  <si>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</si>
  <si>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</si>
  <si>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</si>
  <si>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</si>
  <si>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</si>
  <si>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</si>
  <si>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</si>
  <si>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</si>
  <si>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</si>
  <si>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</si>
  <si>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</si>
  <si>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</si>
  <si>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</si>
  <si>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</si>
  <si>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</si>
  <si>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</si>
  <si>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</si>
  <si>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</si>
  <si>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</si>
  <si>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</si>
  <si>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</si>
  <si>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</si>
  <si>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</si>
  <si>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</si>
  <si>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</si>
  <si>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</si>
  <si>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</si>
  <si>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</si>
  <si>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</si>
  <si>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</si>
  <si>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</si>
  <si>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</si>
  <si>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</si>
  <si>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</si>
  <si>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</si>
  <si>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</si>
  <si>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</si>
  <si>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</si>
  <si>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</si>
  <si>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</si>
  <si>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</si>
  <si>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</si>
  <si>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</si>
  <si>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</si>
  <si>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</si>
  <si>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</si>
  <si>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</si>
  <si>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</si>
  <si>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</si>
  <si>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</si>
  <si>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</si>
  <si>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</si>
  <si>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</si>
  <si>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</si>
  <si>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</si>
  <si>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</si>
  <si>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</si>
  <si>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</si>
  <si>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</si>
  <si>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</si>
  <si>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</si>
  <si>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</si>
  <si>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</si>
  <si>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</si>
  <si>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</si>
  <si>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</si>
  <si>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</si>
  <si>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</si>
  <si>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</si>
  <si>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</si>
  <si>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</si>
  <si>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</si>
  <si>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</si>
  <si>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</si>
  <si>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</si>
  <si>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</si>
  <si>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</si>
  <si>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</si>
  <si>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</si>
  <si>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</si>
  <si>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</si>
  <si>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</si>
  <si>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</si>
  <si>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</si>
  <si>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</si>
  <si>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</si>
  <si>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</si>
  <si>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</si>
  <si>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</si>
  <si>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</si>
  <si>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</si>
  <si>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</si>
  <si>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</si>
  <si>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</si>
  <si>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</si>
  <si>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</si>
  <si>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</si>
  <si>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</si>
  <si>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</si>
  <si>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</si>
  <si>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</si>
  <si>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</si>
  <si>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</si>
  <si>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</si>
  <si>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</si>
  <si>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</si>
  <si>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</si>
  <si>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</si>
  <si>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</si>
  <si>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</si>
  <si>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</si>
  <si>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</si>
  <si>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</si>
  <si>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</si>
  <si>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</si>
  <si>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</si>
  <si>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</si>
  <si>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</si>
  <si>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</si>
  <si>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</si>
  <si>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</si>
  <si>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</si>
  <si>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</si>
  <si>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</si>
  <si>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</si>
  <si>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</si>
  <si>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</si>
  <si>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</si>
  <si>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</si>
  <si>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</si>
  <si>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</si>
  <si>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</si>
  <si>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</si>
  <si>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</si>
  <si>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</si>
  <si>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</si>
  <si>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</si>
  <si>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</si>
  <si>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</si>
  <si>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</si>
  <si>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</si>
  <si>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</si>
  <si>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</si>
  <si>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</si>
  <si>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</si>
  <si>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</si>
  <si>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</si>
  <si>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</si>
  <si>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</si>
  <si>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</si>
  <si>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</si>
  <si>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</si>
  <si>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</si>
  <si>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</si>
  <si>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</si>
  <si>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</si>
  <si>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</si>
  <si>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</si>
  <si>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</si>
  <si>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</si>
  <si>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</si>
  <si>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</si>
  <si>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</si>
  <si>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</si>
  <si>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</si>
  <si>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</si>
  <si>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</si>
  <si>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</si>
  <si>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</si>
  <si>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</si>
  <si>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</si>
  <si>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</si>
  <si>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</si>
  <si>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</si>
  <si>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</si>
  <si>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</si>
  <si>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</si>
  <si>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</si>
  <si>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</si>
  <si>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</si>
  <si>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</si>
  <si>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</si>
  <si>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</si>
  <si>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</si>
  <si>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</si>
  <si>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</si>
  <si>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</si>
  <si>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</si>
  <si>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</si>
  <si>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</si>
  <si>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</si>
  <si>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</si>
  <si>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</si>
  <si>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</si>
  <si>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</si>
  <si>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</si>
  <si>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</si>
  <si>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</si>
  <si>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</si>
  <si>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</si>
  <si>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</si>
  <si>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</si>
  <si>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</si>
  <si>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</si>
  <si>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</si>
  <si>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</si>
  <si>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</si>
  <si>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</si>
  <si>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</si>
  <si>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</si>
  <si>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</si>
  <si>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</si>
  <si>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</si>
  <si>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</si>
  <si>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</si>
  <si>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</si>
  <si>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</si>
  <si>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</si>
  <si>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</si>
  <si>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</si>
  <si>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</si>
  <si>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</si>
  <si>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</si>
  <si>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</si>
  <si>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</si>
  <si>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</si>
  <si>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</si>
  <si>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</si>
  <si>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</si>
  <si>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</si>
  <si>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</si>
  <si>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</si>
  <si>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</si>
  <si>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</si>
  <si>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</si>
  <si>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</si>
  <si>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</si>
  <si>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</si>
  <si>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</si>
  <si>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</si>
  <si>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</si>
  <si>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</si>
  <si>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</si>
  <si>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</si>
  <si>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</si>
  <si>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</si>
  <si>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</si>
  <si>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</si>
  <si>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</si>
  <si>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</si>
  <si>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</si>
  <si>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</si>
  <si>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</si>
  <si>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</si>
  <si>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</si>
  <si>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</si>
  <si>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</si>
  <si>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</si>
  <si>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</si>
  <si>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</si>
  <si>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</si>
  <si>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</si>
  <si>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</si>
  <si>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</si>
  <si>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</si>
  <si>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</si>
  <si>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</si>
  <si>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</si>
  <si>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</si>
  <si>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</si>
  <si>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</si>
  <si>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</si>
  <si>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</si>
  <si>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</si>
  <si>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</si>
  <si>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</si>
  <si>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</si>
  <si>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</si>
  <si>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</si>
  <si>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</si>
  <si>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</si>
  <si>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</si>
  <si>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</si>
  <si>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</si>
  <si>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</si>
  <si>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</si>
  <si>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</si>
  <si>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</si>
  <si>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</si>
  <si>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</si>
  <si>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</si>
  <si>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</si>
  <si>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</si>
  <si>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</si>
  <si>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</si>
  <si>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</si>
  <si>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</si>
  <si>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</si>
  <si>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</si>
  <si>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</si>
  <si>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</si>
  <si>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</si>
  <si>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</si>
  <si>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</si>
  <si>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</si>
  <si>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</si>
  <si>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</si>
  <si>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</si>
  <si>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</si>
  <si>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</si>
  <si>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</si>
  <si>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</si>
  <si>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</si>
  <si>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</si>
  <si>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</si>
  <si>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</si>
  <si>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</si>
  <si>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</si>
  <si>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</si>
  <si>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</si>
  <si>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</si>
  <si>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</si>
  <si>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</si>
  <si>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</si>
  <si>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</si>
  <si>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</si>
  <si>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</si>
  <si>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</si>
  <si>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</si>
  <si>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</si>
  <si>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</si>
  <si>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</si>
  <si>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</si>
  <si>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</si>
  <si>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</si>
  <si>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</si>
  <si>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</si>
  <si>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</si>
  <si>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</si>
  <si>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</si>
  <si>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</si>
  <si>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</si>
  <si>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</si>
  <si>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</si>
  <si>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</si>
  <si>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</si>
  <si>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</si>
  <si>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</si>
  <si>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</si>
  <si>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</si>
  <si>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</si>
  <si>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</si>
  <si>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</si>
  <si>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</si>
  <si>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</si>
  <si>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</si>
  <si>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</si>
  <si>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</si>
  <si>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</si>
  <si>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</si>
  <si>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</si>
  <si>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</si>
  <si>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</si>
  <si>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</si>
  <si>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</si>
  <si>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</si>
  <si>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</si>
  <si>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</si>
  <si>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</si>
  <si>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</si>
  <si>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</si>
  <si>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</si>
  <si>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</si>
  <si>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</si>
  <si>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</si>
  <si>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</si>
  <si>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</si>
  <si>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</si>
  <si>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</si>
  <si>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</si>
  <si>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</si>
  <si>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</si>
  <si>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</si>
  <si>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</si>
  <si>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</si>
  <si>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</si>
  <si>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</si>
  <si>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</si>
  <si>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</si>
  <si>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</si>
  <si>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</si>
  <si>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</si>
  <si>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</si>
  <si>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</si>
  <si>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</si>
  <si>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</si>
  <si>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</si>
  <si>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</si>
  <si>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</si>
  <si>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</si>
  <si>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</si>
  <si>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</si>
  <si>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</si>
  <si>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</si>
  <si>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</si>
  <si>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</si>
  <si>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</si>
  <si>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</si>
  <si>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</si>
  <si>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</si>
  <si>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</si>
  <si>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</si>
  <si>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</si>
  <si>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</si>
  <si>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</si>
  <si>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</si>
  <si>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</si>
  <si>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</si>
  <si>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</si>
  <si>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</si>
  <si>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</si>
  <si>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</si>
  <si>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</si>
  <si>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</si>
  <si>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</si>
  <si>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</si>
  <si>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</si>
  <si>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</si>
  <si>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</si>
  <si>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</si>
  <si>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</si>
  <si>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</si>
  <si>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</si>
  <si>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</si>
  <si>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</si>
  <si>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</si>
  <si>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</si>
  <si>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</si>
  <si>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</si>
  <si>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</si>
  <si>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</si>
  <si>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</si>
  <si>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</si>
  <si>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</si>
  <si>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</si>
  <si>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</si>
  <si>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</si>
  <si>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</si>
  <si>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</si>
  <si>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</si>
  <si>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</si>
  <si>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</si>
  <si>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</si>
  <si>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</si>
  <si>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</si>
  <si>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</si>
  <si>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</si>
  <si>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</si>
  <si>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</si>
  <si>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</si>
  <si>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</si>
  <si>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</si>
  <si>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</si>
  <si>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</si>
  <si>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</si>
  <si>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</si>
  <si>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</si>
  <si>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</si>
  <si>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</si>
  <si>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</si>
  <si>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</si>
  <si>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</si>
  <si>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</si>
  <si>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</si>
  <si>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</si>
  <si>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</si>
  <si>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</si>
  <si>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</si>
  <si>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</si>
  <si>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</si>
  <si>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</si>
  <si>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</si>
  <si>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</si>
  <si>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</si>
  <si>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</si>
  <si>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</si>
  <si>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</si>
  <si>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</si>
  <si>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</si>
  <si>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</si>
  <si>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</si>
  <si>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</si>
  <si>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</si>
  <si>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</si>
  <si>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</si>
  <si>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</si>
  <si>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</si>
  <si>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</si>
  <si>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</si>
  <si>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</si>
  <si>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</si>
  <si>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</si>
  <si>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</si>
  <si>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</si>
  <si>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</si>
  <si>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</si>
  <si>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</si>
  <si>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</si>
  <si>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</si>
  <si>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</si>
  <si>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</si>
  <si>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</si>
  <si>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</si>
  <si>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</si>
  <si>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</si>
  <si>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</si>
  <si>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</si>
  <si>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</si>
  <si>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</si>
  <si>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</si>
  <si>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</si>
  <si>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</si>
  <si>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</si>
  <si>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</si>
  <si>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</si>
  <si>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</si>
  <si>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</si>
  <si>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</si>
  <si>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</si>
  <si>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</si>
  <si>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</si>
  <si>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</si>
  <si>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</si>
  <si>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</si>
  <si>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</si>
  <si>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</si>
  <si>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</si>
  <si>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</si>
  <si>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</si>
  <si>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</si>
  <si>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</si>
  <si>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</si>
  <si>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</si>
  <si>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</si>
  <si>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</si>
  <si>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</si>
  <si>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</si>
  <si>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</si>
  <si>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</si>
  <si>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</si>
  <si>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</si>
  <si>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</si>
  <si>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</si>
  <si>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</si>
  <si>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</si>
  <si>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</si>
  <si>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</si>
  <si>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</si>
  <si>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</si>
  <si>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</si>
  <si>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</si>
  <si>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</si>
  <si>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</si>
  <si>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</si>
  <si>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</si>
  <si>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</si>
  <si>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</si>
  <si>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</si>
  <si>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</si>
  <si>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</si>
  <si>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</si>
  <si>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</si>
  <si>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</si>
  <si>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</si>
  <si>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</si>
  <si>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</si>
  <si>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</si>
  <si>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</si>
  <si>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</si>
  <si>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</si>
  <si>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</si>
  <si>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</si>
  <si>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</si>
  <si>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</si>
  <si>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</si>
  <si>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</si>
  <si>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</si>
  <si>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</si>
  <si>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</si>
  <si>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</si>
  <si>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</si>
  <si>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</si>
  <si>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</si>
  <si>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</si>
  <si>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</si>
  <si>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</si>
  <si>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</si>
  <si>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</si>
  <si>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</si>
  <si>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</si>
  <si>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</si>
  <si>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</si>
  <si>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</si>
  <si>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</si>
  <si>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</si>
  <si>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</si>
  <si>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</si>
  <si>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</si>
  <si>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</si>
  <si>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</si>
  <si>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</si>
  <si>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</si>
  <si>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</si>
  <si>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</si>
  <si>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</si>
  <si>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</si>
  <si>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</si>
  <si>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</si>
  <si>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</si>
  <si>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</si>
  <si>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</si>
  <si>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</si>
  <si>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</si>
  <si>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</si>
  <si>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</si>
  <si>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</si>
  <si>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</si>
  <si>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</si>
  <si>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</si>
  <si>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</si>
  <si>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</si>
  <si>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</si>
  <si>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</si>
  <si>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</si>
  <si>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</si>
  <si>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</si>
  <si>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</si>
  <si>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</si>
  <si>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</si>
  <si>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</si>
  <si>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</si>
  <si>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</si>
  <si>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</si>
  <si>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</si>
  <si>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</si>
  <si>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</si>
  <si>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</si>
  <si>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</si>
  <si>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</si>
  <si>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</si>
  <si>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</si>
  <si>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</si>
  <si>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</si>
  <si>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</si>
  <si>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</si>
  <si>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</si>
  <si>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</si>
  <si>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</si>
  <si>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</si>
  <si>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</si>
  <si>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</si>
  <si>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</si>
  <si>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</si>
  <si>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</si>
  <si>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</si>
  <si>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</si>
  <si>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</si>
  <si>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</si>
  <si>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</si>
  <si>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</si>
  <si>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</si>
  <si>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</si>
  <si>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</si>
  <si>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</si>
  <si>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</si>
  <si>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</si>
  <si>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</si>
  <si>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</si>
  <si>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</si>
  <si>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</si>
  <si>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</si>
  <si>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</si>
  <si>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</si>
  <si>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</si>
  <si>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</si>
  <si>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</si>
  <si>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</si>
  <si>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</si>
  <si>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</si>
  <si>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</si>
  <si>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</si>
  <si>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</si>
  <si>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</si>
  <si>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</si>
  <si>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</si>
  <si>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</si>
  <si>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</si>
  <si>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</si>
  <si>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</si>
  <si>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</si>
  <si>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</si>
  <si>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</si>
  <si>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</si>
  <si>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</si>
  <si>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</si>
  <si>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</si>
  <si>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</si>
  <si>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</si>
  <si>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</si>
  <si>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</si>
  <si>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</si>
  <si>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</si>
  <si>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</si>
  <si>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</si>
  <si>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</si>
  <si>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</si>
  <si>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</si>
  <si>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</si>
  <si>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</si>
  <si>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</si>
  <si>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</si>
  <si>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</si>
  <si>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</si>
  <si>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</si>
  <si>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</si>
  <si>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</si>
  <si>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</si>
  <si>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</si>
  <si>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</si>
  <si>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</si>
  <si>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</si>
  <si>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</si>
  <si>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</si>
  <si>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</si>
  <si>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</si>
  <si>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</si>
  <si>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</si>
  <si>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</si>
  <si>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</si>
  <si>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</si>
  <si>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</si>
  <si>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</si>
  <si>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</si>
  <si>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</si>
  <si>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</si>
  <si>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</si>
  <si>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</si>
  <si>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</si>
  <si>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</si>
  <si>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</si>
  <si>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</si>
  <si>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</si>
  <si>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</si>
  <si>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</si>
  <si>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</si>
  <si>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</si>
  <si>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</si>
  <si>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</si>
  <si>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</si>
  <si>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</si>
  <si>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</si>
  <si>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</si>
  <si>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</si>
  <si>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</si>
  <si>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</si>
  <si>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</si>
  <si>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</si>
  <si>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</si>
  <si>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</si>
  <si>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</si>
  <si>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</si>
  <si>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</si>
  <si>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</si>
  <si>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</si>
  <si>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</si>
  <si>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</si>
  <si>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</si>
  <si>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</si>
  <si>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</si>
  <si>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</si>
  <si>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</si>
  <si>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</si>
  <si>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</si>
  <si>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</si>
  <si>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</si>
  <si>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</si>
  <si>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</si>
  <si>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</si>
  <si>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</si>
  <si>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</si>
  <si>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</si>
  <si>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</si>
  <si>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</si>
  <si>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</si>
  <si>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</si>
  <si>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</si>
  <si>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</si>
  <si>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</si>
  <si>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</si>
  <si>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</si>
  <si>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</si>
  <si>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</si>
  <si>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</si>
  <si>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</si>
  <si>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</si>
  <si>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</si>
  <si>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</si>
  <si>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</si>
  <si>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</si>
  <si>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</si>
  <si>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</si>
  <si>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</si>
  <si>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</si>
  <si>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</si>
  <si>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</si>
  <si>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</si>
  <si>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</si>
  <si>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</si>
  <si>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</si>
  <si>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</si>
  <si>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</si>
  <si>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</si>
  <si>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</si>
  <si>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</si>
  <si>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</si>
  <si>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</si>
  <si>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</si>
  <si>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</si>
  <si>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</si>
  <si>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</si>
  <si>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</si>
  <si>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</si>
  <si>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</si>
  <si>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</si>
  <si>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</si>
  <si>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</si>
  <si>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</si>
  <si>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</si>
  <si>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</si>
  <si>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</si>
  <si>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</si>
  <si>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</si>
  <si>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</si>
  <si>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</si>
  <si>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</si>
  <si>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</si>
  <si>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</si>
  <si>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</si>
  <si>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</si>
  <si>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</si>
  <si>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</si>
  <si>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</si>
  <si>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</si>
  <si>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</si>
  <si>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</si>
  <si>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</si>
  <si>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</si>
  <si>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</si>
  <si>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</si>
  <si>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</si>
  <si>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</si>
  <si>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</si>
  <si>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</si>
  <si>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</si>
  <si>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</si>
  <si>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</si>
  <si>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</si>
  <si>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</si>
  <si>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</si>
  <si>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</si>
  <si>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</si>
  <si>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</si>
  <si>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</si>
  <si>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</si>
  <si>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</si>
  <si>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</si>
  <si>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</si>
  <si>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</si>
  <si>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</si>
  <si>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</si>
  <si>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</si>
  <si>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</si>
  <si>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</si>
  <si>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</si>
  <si>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</si>
  <si>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</si>
  <si>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</si>
  <si>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</si>
  <si>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</si>
  <si>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</si>
  <si>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</si>
  <si>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</si>
  <si>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</si>
  <si>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</si>
  <si>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</si>
  <si>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</si>
  <si>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</si>
  <si>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</si>
  <si>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</si>
  <si>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</si>
  <si>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</si>
  <si>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</si>
  <si>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</si>
  <si>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</si>
  <si>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</si>
  <si>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</si>
  <si>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</si>
  <si>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</si>
  <si>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</si>
  <si>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</si>
  <si>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</si>
  <si>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</si>
  <si>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</si>
  <si>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</si>
  <si>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</si>
  <si>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</si>
  <si>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</si>
  <si>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</si>
  <si>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</si>
  <si>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</si>
  <si>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</si>
  <si>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</si>
  <si>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</si>
  <si>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</si>
  <si>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</si>
  <si>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</si>
  <si>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</si>
  <si>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</si>
  <si>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</si>
  <si>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</si>
  <si>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</si>
  <si>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</si>
  <si>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</si>
  <si>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</si>
  <si>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</si>
  <si>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</si>
  <si>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</si>
  <si>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</si>
  <si>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</si>
  <si>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</si>
  <si>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</si>
  <si>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</si>
  <si>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</si>
  <si>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</si>
  <si>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</si>
  <si>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</si>
  <si>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</si>
  <si>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</si>
  <si>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</si>
  <si>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</si>
  <si>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</si>
  <si>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</si>
  <si>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</si>
  <si>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</si>
  <si>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</si>
  <si>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</si>
  <si>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</si>
  <si>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</si>
  <si>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</si>
  <si>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</si>
  <si>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</si>
  <si>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</si>
  <si>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</si>
  <si>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</si>
  <si>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</si>
  <si>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</si>
  <si>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</si>
  <si>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</si>
  <si>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</si>
  <si>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</si>
  <si>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</si>
  <si>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</si>
  <si>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</si>
  <si>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Vincent BOUCHAREYCHAS - Julie MIGAUD</t>
  </si>
  <si>
    <t xml:space="preserve">conforme AFNOR T90-395 oct. 2003</t>
  </si>
  <si>
    <t xml:space="preserve">RESTONICA</t>
  </si>
  <si>
    <t xml:space="preserve">Corte</t>
  </si>
  <si>
    <t xml:space="preserve">06215250</t>
  </si>
  <si>
    <t xml:space="preserve">7178 Corse</t>
  </si>
  <si>
    <t xml:space="preserve">Résultats</t>
  </si>
  <si>
    <t xml:space="preserve">Robustesse:</t>
  </si>
  <si>
    <t xml:space="preserve">Unité de relevé</t>
  </si>
  <si>
    <t xml:space="preserve">UR1</t>
  </si>
  <si>
    <t xml:space="preserve">UR2</t>
  </si>
  <si>
    <t xml:space="preserve">IBMR:</t>
  </si>
  <si>
    <t xml:space="preserve">Faciès dominant</t>
  </si>
  <si>
    <t xml:space="preserve">cascade</t>
  </si>
  <si>
    <t xml:space="preserve">mouille</t>
  </si>
  <si>
    <t xml:space="preserve">niv. trophique:</t>
  </si>
  <si>
    <t xml:space="preserve">très faible</t>
  </si>
  <si>
    <t xml:space="preserve">(très 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</si>
  <si>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</si>
  <si>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</si>
  <si>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</si>
  <si>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</si>
  <si>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</si>
  <si>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</si>
  <si>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</si>
  <si>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</si>
  <si>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</si>
  <si>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</si>
  <si>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</si>
  <si>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</si>
  <si>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</si>
  <si>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</si>
  <si>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</si>
  <si>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</si>
  <si>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</si>
  <si>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</si>
  <si>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</si>
  <si>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</si>
  <si>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</si>
  <si>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</si>
  <si>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</si>
  <si>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</si>
  <si>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</si>
  <si>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</si>
  <si>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</si>
  <si>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</si>
  <si>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</si>
  <si>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</si>
  <si>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</si>
  <si>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</si>
  <si>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</si>
  <si>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</si>
  <si>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</si>
  <si>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</si>
  <si>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(9,80085 %)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</si>
  <si>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</si>
  <si>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</si>
  <si>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</si>
  <si>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</si>
  <si>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</si>
  <si>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</si>
  <si>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</si>
  <si>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</si>
  <si>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</si>
  <si>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</si>
  <si>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</si>
  <si>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</si>
  <si>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</si>
  <si>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</si>
  <si>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</si>
  <si>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</si>
  <si>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</si>
  <si>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</si>
  <si>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</si>
  <si>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</si>
  <si>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</si>
  <si>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</si>
  <si>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</si>
  <si>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</si>
  <si>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</si>
  <si>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</si>
  <si>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</si>
  <si>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</si>
  <si>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</si>
  <si>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</si>
  <si>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</si>
  <si>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</si>
  <si>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</si>
  <si>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</si>
  <si>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</si>
  <si>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</si>
  <si>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</si>
  <si>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</si>
  <si>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</si>
  <si>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</si>
  <si>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</si>
  <si>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</si>
  <si>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</si>
  <si>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</si>
  <si>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</si>
  <si>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</si>
  <si>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</si>
  <si>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</si>
  <si>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radier</t>
  </si>
  <si>
    <t xml:space="preserve">rapide</t>
  </si>
  <si>
    <t xml:space="preserve">ch. lentique</t>
  </si>
  <si>
    <t xml:space="preserve">Alisma wahlenbergii        </t>
  </si>
  <si>
    <t xml:space="preserve">pl. lent</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</si>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</sst>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5" borderId="65" xfId="0" applyFont="true" applyBorder="true" applyAlignment="true" applyProtection="true">
      <alignment horizontal="right" vertical="top" textRotation="0" wrapText="false" indent="0" shrinkToFit="false"/>
      <protection locked="true" hidden="true"/>
    </xf>
    <xf numFmtId="172" fontId="44" fillId="25" borderId="66" xfId="0" applyFont="true" applyBorder="true" applyAlignment="true" applyProtection="true">
      <alignment horizontal="left" vertical="top" textRotation="0" wrapText="false" indent="0" shrinkToFit="false"/>
      <protection locked="true" hidden="true"/>
    </xf>
    <xf numFmtId="172" fontId="75" fillId="25" borderId="58" xfId="0" applyFont="true" applyBorder="true" applyAlignment="true" applyProtection="true">
      <alignment horizontal="left" vertical="top" textRotation="0" wrapText="false" indent="0" shrinkToFit="false"/>
      <protection locked="true" hidden="true"/>
    </xf>
    <xf numFmtId="172" fontId="37" fillId="25"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5" borderId="69" xfId="0" applyFont="true" applyBorder="true" applyAlignment="true" applyProtection="true">
      <alignment horizontal="left" vertical="bottom" textRotation="0" wrapText="false" indent="0" shrinkToFit="false"/>
      <protection locked="true" hidden="true"/>
    </xf>
    <xf numFmtId="164" fontId="43" fillId="25" borderId="70" xfId="0" applyFont="true" applyBorder="true" applyAlignment="true" applyProtection="true">
      <alignment horizontal="right" vertical="top" textRotation="0" wrapText="false" indent="0" shrinkToFit="false"/>
      <protection locked="true" hidden="true"/>
    </xf>
    <xf numFmtId="164" fontId="106" fillId="25"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41074</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14.2820512820513</v>
      </c>
      <c r="M5" s="293"/>
      <c r="N5" s="294"/>
      <c r="O5" s="295" t="n">
        <v>14.1515151515152</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53</v>
      </c>
      <c r="C7" s="307" t="n">
        <v>47</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12.6</v>
      </c>
      <c r="O8" s="323" t="n">
        <f aca="false">AVERAGE(J23:J82)</f>
        <v>2</v>
      </c>
      <c r="P8" s="324"/>
      <c r="Q8" s="250"/>
      <c r="R8" s="250"/>
      <c r="S8" s="250"/>
      <c r="T8" s="250"/>
      <c r="U8" s="250"/>
      <c r="V8" s="250"/>
      <c r="W8" s="262"/>
      <c r="X8" s="263"/>
    </row>
    <row r="9" customFormat="false" ht="13.5" hidden="false" customHeight="false" outlineLevel="0" collapsed="false">
      <c r="A9" s="283" t="s">
        <v>2636</v>
      </c>
      <c r="B9" s="325" t="n">
        <v>16.1</v>
      </c>
      <c r="C9" s="326" t="n">
        <v>2.7</v>
      </c>
      <c r="D9" s="327"/>
      <c r="E9" s="327"/>
      <c r="F9" s="328" t="n">
        <f aca="false">($B9*$B$7+$C9*$C$7)/100</f>
        <v>9.802</v>
      </c>
      <c r="G9" s="329"/>
      <c r="H9" s="330"/>
      <c r="I9" s="331"/>
      <c r="J9" s="332"/>
      <c r="K9" s="313"/>
      <c r="L9" s="333"/>
      <c r="M9" s="322" t="s">
        <v>2637</v>
      </c>
      <c r="N9" s="323" t="n">
        <f aca="false">STDEV(I23:I82)</f>
        <v>4.99332888295307</v>
      </c>
      <c r="O9" s="323" t="n">
        <f aca="false">STDEV(J23:J82)</f>
        <v>0.942809041582063</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18</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8</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2</v>
      </c>
      <c r="L13" s="355"/>
      <c r="M13" s="366" t="s">
        <v>2648</v>
      </c>
      <c r="N13" s="367" t="n">
        <f aca="false">COUNTIF(F23:F82,"&gt;0")</f>
        <v>10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10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1</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5</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3</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16.12</v>
      </c>
      <c r="C20" s="405" t="n">
        <f aca="false">SUM(C23:C82)</f>
        <v>2.675</v>
      </c>
      <c r="D20" s="406"/>
      <c r="E20" s="407" t="s">
        <v>2660</v>
      </c>
      <c r="F20" s="408" t="n">
        <f aca="false">($B20*$B$7+$C20*$C$7)/100</f>
        <v>9.80085</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8.5436</v>
      </c>
      <c r="C21" s="418" t="n">
        <f aca="false">C20*C7/100</f>
        <v>1.25725</v>
      </c>
      <c r="D21" s="350" t="str">
        <f aca="false">IF(F21=0,"",IF((ABS(F21-F19))&gt;(0.2*F21),CONCATENATE(" rec. par taxa (",F21," %) supérieur à 20 % !"),""))</f>
        <v> rec. par taxa (9,80085 %) supérieur à 20 % !</v>
      </c>
      <c r="E21" s="419" t="str">
        <f aca="false">IF(F21=0,"",IF((ABS(F21-F19))&gt;(0.2*F21),CONCATENATE("ATTENTION : écart entre rec. par grp (",F19," %) ","et",""),""))</f>
        <v>ATTENTION : écart entre rec. par grp (0 %) et</v>
      </c>
      <c r="F21" s="420" t="n">
        <f aca="false">B21+C21</f>
        <v>9.80085</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184</v>
      </c>
      <c r="B23" s="444" t="n">
        <v>0.2</v>
      </c>
      <c r="C23" s="445"/>
      <c r="D23" s="446" t="str">
        <f aca="false">IF(ISERROR(VLOOKUP($A23,'liste reference'!$A$7:$D$892,2,0)),IF(ISERROR(VLOOKUP($A23,'liste reference'!$B$7:$D$892,1,0)),"",VLOOKUP($A23,'liste reference'!$B$7:$D$892,1,0)),VLOOKUP($A23,'liste reference'!$A$7:$D$892,2,0))</f>
        <v>Audouinella sp.</v>
      </c>
      <c r="E23" s="446" t="e">
        <f aca="false">IF(D23="",0,VLOOKUP(D23,D$22:D22,1,0))</f>
        <v>#N/A</v>
      </c>
      <c r="F23" s="447" t="n">
        <f aca="false">($B23*$B$7+$C23*$C$7)/100</f>
        <v>0.106</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13</v>
      </c>
      <c r="J23" s="451" t="n">
        <f aca="false">IF(ISNUMBER(H23),IF(ISERROR(VLOOKUP($A23,'liste reference'!$A$7:$P$892,4,0)),IF(ISERROR(VLOOKUP($A23,'liste reference'!$B$7:$P$892,3,0)),"",VLOOKUP($A23,'liste reference'!$B$7:$P$892,3,0)),VLOOKUP($A23,'liste reference'!$A$7:$P$892,4,0)),"")</f>
        <v>2</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Audouinella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676</v>
      </c>
      <c r="Q23" s="455" t="n">
        <f aca="false">IF(ISTEXT(H23),"",(B23*$B$7/100)+(C23*$C$7/100))</f>
        <v>0.106</v>
      </c>
      <c r="R23" s="456" t="n">
        <f aca="false">IF(OR(ISTEXT(H23),Q23=0),"",IF(Q23&lt;0.1,1,IF(Q23&lt;1,2,IF(Q23&lt;10,3,IF(Q23&lt;50,4,IF(Q23&gt;=50,5,""))))))</f>
        <v>2</v>
      </c>
      <c r="S23" s="456" t="n">
        <f aca="false">IF(ISERROR(R23*I23),0,R23*I23)</f>
        <v>26</v>
      </c>
      <c r="T23" s="456" t="n">
        <f aca="false">IF(ISERROR(R23*I23*J23),0,R23*I23*J23)</f>
        <v>52</v>
      </c>
      <c r="U23" s="456" t="n">
        <f aca="false">IF(ISERROR(R23*J23),0,R23*J23)</f>
        <v>4</v>
      </c>
      <c r="V23" s="457" t="n">
        <v>4</v>
      </c>
      <c r="W23" s="458"/>
      <c r="Y23" s="459" t="str">
        <f aca="false">IF(A23="new.cod","NEWCOD",IF(AND((Z23=""),ISTEXT(A23)),A23,IF(Z23="","",INDEX('liste reference'!$A$7:$A$892,Z23))))</f>
        <v>AUDSPX</v>
      </c>
      <c r="Z23" s="250" t="n">
        <f aca="false">IF(ISERROR(MATCH(A23,'liste reference'!$A$7:$A$892,0)),IF(ISERROR(MATCH(A23,'liste reference'!$B$7:$B$892,0)),"",(MATCH(A23,'liste reference'!$B$7:$B$892,0))),(MATCH(A23,'liste reference'!$A$7:$A$892,0)))</f>
        <v>42</v>
      </c>
      <c r="AA23" s="460"/>
      <c r="AB23" s="461"/>
      <c r="AC23" s="461"/>
      <c r="BC23" s="250" t="n">
        <f aca="false">IF(A23="","",1)</f>
        <v>1</v>
      </c>
    </row>
    <row r="24" customFormat="false" ht="12.75" hidden="false" customHeight="false" outlineLevel="0" collapsed="false">
      <c r="A24" s="462" t="s">
        <v>701</v>
      </c>
      <c r="B24" s="463" t="n">
        <v>0.005</v>
      </c>
      <c r="C24" s="464"/>
      <c r="D24" s="465" t="str">
        <f aca="false">IF(ISERROR(VLOOKUP($A24,'liste reference'!$A$7:$D$892,2,0)),IF(ISERROR(VLOOKUP($A24,'liste reference'!$B$7:$D$892,1,0)),"",VLOOKUP($A24,'liste reference'!$B$7:$D$892,1,0)),VLOOKUP($A24,'liste reference'!$A$7:$D$892,2,0))</f>
        <v>Draparnaldia sp.</v>
      </c>
      <c r="E24" s="465" t="e">
        <f aca="false">IF(D24="",0,VLOOKUP(D24,D$22:D23,1,0))</f>
        <v>#N/A</v>
      </c>
      <c r="F24" s="466" t="n">
        <f aca="false">($B24*$B$7+$C24*$C$7)/100</f>
        <v>0.00265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18</v>
      </c>
      <c r="J24" s="451" t="n">
        <f aca="false">IF(ISNUMBER(H24),IF(ISERROR(VLOOKUP($A24,'liste reference'!$A$7:$P$892,4,0)),IF(ISERROR(VLOOKUP($A24,'liste reference'!$B$7:$P$892,3,0)),"",VLOOKUP($A24,'liste reference'!$B$7:$P$892,3,0)),VLOOKUP($A24,'liste reference'!$A$7:$P$892,4,0)),"")</f>
        <v>3</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Draparnaldia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1118</v>
      </c>
      <c r="Q24" s="455" t="n">
        <f aca="false">IF(ISTEXT(H24),"",(B24*$B$7/100)+(C24*$C$7/100))</f>
        <v>0.00265</v>
      </c>
      <c r="R24" s="456" t="n">
        <f aca="false">IF(OR(ISTEXT(H24),Q24=0),"",IF(Q24&lt;0.1,1,IF(Q24&lt;1,2,IF(Q24&lt;10,3,IF(Q24&lt;50,4,IF(Q24&gt;=50,5,""))))))</f>
        <v>1</v>
      </c>
      <c r="S24" s="456" t="n">
        <f aca="false">IF(ISERROR(R24*I24),0,R24*I24)</f>
        <v>18</v>
      </c>
      <c r="T24" s="456" t="n">
        <f aca="false">IF(ISERROR(R24*I24*J24),0,R24*I24*J24)</f>
        <v>54</v>
      </c>
      <c r="U24" s="470" t="n">
        <f aca="false">IF(ISERROR(R24*J24),0,R24*J24)</f>
        <v>3</v>
      </c>
      <c r="V24" s="457" t="n">
        <v>3</v>
      </c>
      <c r="W24" s="458"/>
      <c r="Y24" s="459" t="str">
        <f aca="false">IF(A24="new.cod","NEWCOD",IF(AND((Z24=""),ISTEXT(A24)),A24,IF(Z24="","",INDEX('liste reference'!$A$7:$A$892,Z24))))</f>
        <v>DRASPX</v>
      </c>
      <c r="Z24" s="250" t="n">
        <f aca="false">IF(ISERROR(MATCH(A24,'liste reference'!$A$7:$A$892,0)),IF(ISERROR(MATCH(A24,'liste reference'!$B$7:$B$892,0)),"",(MATCH(A24,'liste reference'!$B$7:$B$892,0))),(MATCH(A24,'liste reference'!$A$7:$A$892,0)))</f>
        <v>217</v>
      </c>
      <c r="AA24" s="460"/>
      <c r="AB24" s="461"/>
      <c r="AC24" s="461"/>
      <c r="BC24" s="250" t="n">
        <f aca="false">IF(A24="","",1)</f>
        <v>1</v>
      </c>
    </row>
    <row r="25" customFormat="false" ht="12.75" hidden="false" customHeight="false" outlineLevel="0" collapsed="false">
      <c r="A25" s="462" t="s">
        <v>1107</v>
      </c>
      <c r="B25" s="463" t="n">
        <v>0.75</v>
      </c>
      <c r="C25" s="464" t="n">
        <v>0.25</v>
      </c>
      <c r="D25" s="465" t="str">
        <f aca="false">IF(ISERROR(VLOOKUP($A25,'liste reference'!$A$7:$D$892,2,0)),IF(ISERROR(VLOOKUP($A25,'liste reference'!$B$7:$D$892,1,0)),"",VLOOKUP($A25,'liste reference'!$B$7:$D$892,1,0)),VLOOKUP($A25,'liste reference'!$A$7:$D$892,2,0))</f>
        <v>Hydrurus sp.</v>
      </c>
      <c r="E25" s="465" t="e">
        <f aca="false">IF(D25="",0,VLOOKUP(D25,D$22:D24,1,0))</f>
        <v>#N/A</v>
      </c>
      <c r="F25" s="466" t="n">
        <f aca="false">($B25*$B$7+$C25*$C$7)/100</f>
        <v>0.515</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16</v>
      </c>
      <c r="J25" s="451" t="n">
        <f aca="false">IF(ISNUMBER(H25),IF(ISERROR(VLOOKUP($A25,'liste reference'!$A$7:$P$892,4,0)),IF(ISERROR(VLOOKUP($A25,'liste reference'!$B$7:$P$892,3,0)),"",VLOOKUP($A25,'liste reference'!$B$7:$P$892,3,0)),VLOOKUP($A25,'liste reference'!$A$7:$P$892,4,0)),"")</f>
        <v>2</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Hydrurus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6183</v>
      </c>
      <c r="Q25" s="455" t="n">
        <f aca="false">IF(ISTEXT(H25),"",(B25*$B$7/100)+(C25*$C$7/100))</f>
        <v>0.515</v>
      </c>
      <c r="R25" s="456" t="n">
        <f aca="false">IF(OR(ISTEXT(H25),Q25=0),"",IF(Q25&lt;0.1,1,IF(Q25&lt;1,2,IF(Q25&lt;10,3,IF(Q25&lt;50,4,IF(Q25&gt;=50,5,""))))))</f>
        <v>2</v>
      </c>
      <c r="S25" s="456" t="n">
        <f aca="false">IF(ISERROR(R25*I25),0,R25*I25)</f>
        <v>32</v>
      </c>
      <c r="T25" s="456" t="n">
        <f aca="false">IF(ISERROR(R25*I25*J25),0,R25*I25*J25)</f>
        <v>64</v>
      </c>
      <c r="U25" s="470" t="n">
        <f aca="false">IF(ISERROR(R25*J25),0,R25*J25)</f>
        <v>4</v>
      </c>
      <c r="V25" s="457" t="n">
        <v>4</v>
      </c>
      <c r="W25" s="471"/>
      <c r="Y25" s="459" t="str">
        <f aca="false">IF(A25="new.cod","NEWCOD",IF(AND((Z25=""),ISTEXT(A25)),A25,IF(Z25="","",INDEX('liste reference'!$A$7:$A$892,Z25))))</f>
        <v>HYUSPX</v>
      </c>
      <c r="Z25" s="250" t="n">
        <f aca="false">IF(ISERROR(MATCH(A25,'liste reference'!$A$7:$A$892,0)),IF(ISERROR(MATCH(A25,'liste reference'!$B$7:$B$892,0)),"",(MATCH(A25,'liste reference'!$B$7:$B$892,0))),(MATCH(A25,'liste reference'!$A$7:$A$892,0)))</f>
        <v>358</v>
      </c>
      <c r="AA25" s="460"/>
      <c r="AB25" s="461"/>
      <c r="AC25" s="461"/>
      <c r="BC25" s="250" t="n">
        <f aca="false">IF(A25="","",1)</f>
        <v>1</v>
      </c>
    </row>
    <row r="26" customFormat="false" ht="12.75" hidden="false" customHeight="false" outlineLevel="0" collapsed="false">
      <c r="A26" s="462" t="s">
        <v>1263</v>
      </c>
      <c r="B26" s="463" t="n">
        <v>10</v>
      </c>
      <c r="C26" s="464"/>
      <c r="D26" s="465" t="str">
        <f aca="false">IF(ISERROR(VLOOKUP($A26,'liste reference'!$A$7:$D$892,2,0)),IF(ISERROR(VLOOKUP($A26,'liste reference'!$B$7:$D$892,1,0)),"",VLOOKUP($A26,'liste reference'!$B$7:$D$892,1,0)),VLOOKUP($A26,'liste reference'!$A$7:$D$892,2,0))</f>
        <v>Lemanea sp.</v>
      </c>
      <c r="E26" s="465" t="e">
        <f aca="false">IF(D26="",0,VLOOKUP(D26,D$22:D25,1,0))</f>
        <v>#N/A</v>
      </c>
      <c r="F26" s="466" t="n">
        <f aca="false">($B26*$B$7+$C26*$C$7)/100</f>
        <v>5.3</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15</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Lemanea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1159</v>
      </c>
      <c r="Q26" s="455" t="n">
        <f aca="false">IF(ISTEXT(H26),"",(B26*$B$7/100)+(C26*$C$7/100))</f>
        <v>5.3</v>
      </c>
      <c r="R26" s="456" t="n">
        <f aca="false">IF(OR(ISTEXT(H26),Q26=0),"",IF(Q26&lt;0.1,1,IF(Q26&lt;1,2,IF(Q26&lt;10,3,IF(Q26&lt;50,4,IF(Q26&gt;=50,5,""))))))</f>
        <v>3</v>
      </c>
      <c r="S26" s="456" t="n">
        <f aca="false">IF(ISERROR(R26*I26),0,R26*I26)</f>
        <v>45</v>
      </c>
      <c r="T26" s="456" t="n">
        <f aca="false">IF(ISERROR(R26*I26*J26),0,R26*I26*J26)</f>
        <v>90</v>
      </c>
      <c r="U26" s="470" t="n">
        <f aca="false">IF(ISERROR(R26*J26),0,R26*J26)</f>
        <v>6</v>
      </c>
      <c r="V26" s="457" t="n">
        <v>6</v>
      </c>
      <c r="W26" s="458"/>
      <c r="Y26" s="459" t="str">
        <f aca="false">IF(A26="new.cod","NEWCOD",IF(AND((Z26=""),ISTEXT(A26)),A26,IF(Z26="","",INDEX('liste reference'!$A$7:$A$892,Z26))))</f>
        <v>LEASPX</v>
      </c>
      <c r="Z26" s="250" t="n">
        <f aca="false">IF(ISERROR(MATCH(A26,'liste reference'!$A$7:$A$892,0)),IF(ISERROR(MATCH(A26,'liste reference'!$B$7:$B$892,0)),"",(MATCH(A26,'liste reference'!$B$7:$B$892,0))),(MATCH(A26,'liste reference'!$A$7:$A$892,0)))</f>
        <v>407</v>
      </c>
      <c r="AA26" s="460"/>
      <c r="AB26" s="461"/>
      <c r="AC26" s="461"/>
      <c r="BC26" s="250" t="n">
        <f aca="false">IF(A26="","",1)</f>
        <v>1</v>
      </c>
    </row>
    <row r="27" customFormat="false" ht="12.75" hidden="false" customHeight="false" outlineLevel="0" collapsed="false">
      <c r="A27" s="462" t="s">
        <v>1338</v>
      </c>
      <c r="B27" s="463" t="n">
        <v>0.05</v>
      </c>
      <c r="C27" s="464"/>
      <c r="D27" s="465" t="str">
        <f aca="false">IF(ISERROR(VLOOKUP($A27,'liste reference'!$A$7:$D$892,2,0)),IF(ISERROR(VLOOKUP($A27,'liste reference'!$B$7:$D$892,1,0)),"",VLOOKUP($A27,'liste reference'!$B$7:$D$892,1,0)),VLOOKUP($A27,'liste reference'!$A$7:$D$892,2,0))</f>
        <v>Lyngbya sp.</v>
      </c>
      <c r="E27" s="465" t="e">
        <f aca="false">IF(D27="",0,VLOOKUP(D27,D$22:D26,1,0))</f>
        <v>#N/A</v>
      </c>
      <c r="F27" s="466" t="n">
        <f aca="false">($B27*$B$7+$C27*$C$7)/100</f>
        <v>0.0265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10</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Lyngbya sp.</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117</v>
      </c>
      <c r="Q27" s="455" t="n">
        <f aca="false">IF(ISTEXT(H27),"",(B27*$B$7/100)+(C27*$C$7/100))</f>
        <v>0.0265</v>
      </c>
      <c r="R27" s="456" t="n">
        <f aca="false">IF(OR(ISTEXT(H27),Q27=0),"",IF(Q27&lt;0.1,1,IF(Q27&lt;1,2,IF(Q27&lt;10,3,IF(Q27&lt;50,4,IF(Q27&gt;=50,5,""))))))</f>
        <v>1</v>
      </c>
      <c r="S27" s="456" t="n">
        <f aca="false">IF(ISERROR(R27*I27),0,R27*I27)</f>
        <v>10</v>
      </c>
      <c r="T27" s="456" t="n">
        <f aca="false">IF(ISERROR(R27*I27*J27),0,R27*I27*J27)</f>
        <v>20</v>
      </c>
      <c r="U27" s="470" t="n">
        <f aca="false">IF(ISERROR(R27*J27),0,R27*J27)</f>
        <v>2</v>
      </c>
      <c r="V27" s="457" t="n">
        <v>2</v>
      </c>
      <c r="W27" s="458"/>
      <c r="Y27" s="459" t="str">
        <f aca="false">IF(A27="new.cod","NEWCOD",IF(AND((Z27=""),ISTEXT(A27)),A27,IF(Z27="","",INDEX('liste reference'!$A$7:$A$892,Z27))))</f>
        <v>LYNSPX</v>
      </c>
      <c r="Z27" s="250" t="n">
        <f aca="false">IF(ISERROR(MATCH(A27,'liste reference'!$A$7:$A$892,0)),IF(ISERROR(MATCH(A27,'liste reference'!$B$7:$B$892,0)),"",(MATCH(A27,'liste reference'!$B$7:$B$892,0))),(MATCH(A27,'liste reference'!$A$7:$A$892,0)))</f>
        <v>434</v>
      </c>
      <c r="AA27" s="460"/>
      <c r="AB27" s="461"/>
      <c r="AC27" s="461"/>
      <c r="BC27" s="250" t="n">
        <f aca="false">IF(A27="","",1)</f>
        <v>1</v>
      </c>
    </row>
    <row r="28" customFormat="false" ht="12.75" hidden="false" customHeight="false" outlineLevel="0" collapsed="false">
      <c r="A28" s="462" t="s">
        <v>1710</v>
      </c>
      <c r="B28" s="463" t="n">
        <v>1.65</v>
      </c>
      <c r="C28" s="464" t="n">
        <v>0.12</v>
      </c>
      <c r="D28" s="465" t="str">
        <f aca="false">IF(ISERROR(VLOOKUP($A28,'liste reference'!$A$7:$D$892,2,0)),IF(ISERROR(VLOOKUP($A28,'liste reference'!$B$7:$D$892,1,0)),"",VLOOKUP($A28,'liste reference'!$B$7:$D$892,1,0)),VLOOKUP($A28,'liste reference'!$A$7:$D$892,2,0))</f>
        <v>Phormidium sp.</v>
      </c>
      <c r="E28" s="465" t="e">
        <f aca="false">IF(D28="",0,VLOOKUP(D28,D$22:D27,1,0))</f>
        <v>#N/A</v>
      </c>
      <c r="F28" s="466" t="n">
        <f aca="false">($B28*$B$7+$C28*$C$7)/100</f>
        <v>0.9309</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13</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Phormidium sp.</v>
      </c>
      <c r="L28" s="469"/>
      <c r="M28" s="469"/>
      <c r="N28" s="469"/>
      <c r="O28" s="454" t="str">
        <f aca="false">IF(AA28="Cf.","Cf.","")</f>
        <v>Cf.</v>
      </c>
      <c r="P28" s="454" t="n">
        <f aca="false">IF($A28="NEWCOD",IF($AC28="","No",$AC28),IF(ISTEXT($E28),"DEJA SAISI !",IF($A28="","",IF(ISERROR(VLOOKUP($A28,'liste reference'!A:S,19,FALSE())),IF(ISERROR(VLOOKUP($A28,'liste reference'!B:S,19,FALSE())),"",VLOOKUP($A28,'liste reference'!B:S,19,FALSE())),VLOOKUP($A28,'liste reference'!A:S,19,FALSE())))))</f>
        <v>6414</v>
      </c>
      <c r="Q28" s="455" t="n">
        <f aca="false">IF(ISTEXT(H28),"",(B28*$B$7/100)+(C28*$C$7/100))</f>
        <v>0.9309</v>
      </c>
      <c r="R28" s="456" t="n">
        <f aca="false">IF(OR(ISTEXT(H28),Q28=0),"",IF(Q28&lt;0.1,1,IF(Q28&lt;1,2,IF(Q28&lt;10,3,IF(Q28&lt;50,4,IF(Q28&gt;=50,5,""))))))</f>
        <v>2</v>
      </c>
      <c r="S28" s="456" t="n">
        <f aca="false">IF(ISERROR(R28*I28),0,R28*I28)</f>
        <v>26</v>
      </c>
      <c r="T28" s="456" t="n">
        <f aca="false">IF(ISERROR(R28*I28*J28),0,R28*I28*J28)</f>
        <v>52</v>
      </c>
      <c r="U28" s="470" t="n">
        <f aca="false">IF(ISERROR(R28*J28),0,R28*J28)</f>
        <v>4</v>
      </c>
      <c r="V28" s="457" t="n">
        <v>4</v>
      </c>
      <c r="W28" s="458"/>
      <c r="Y28" s="459" t="str">
        <f aca="false">IF(A28="new.cod","NEWCOD",IF(AND((Z28=""),ISTEXT(A28)),A28,IF(Z28="","",INDEX('liste reference'!$A$7:$A$892,Z28))))</f>
        <v>PHOSPX</v>
      </c>
      <c r="Z28" s="250" t="n">
        <f aca="false">IF(ISERROR(MATCH(A28,'liste reference'!$A$7:$A$892,0)),IF(ISERROR(MATCH(A28,'liste reference'!$B$7:$B$892,0)),"",(MATCH(A28,'liste reference'!$B$7:$B$892,0))),(MATCH(A28,'liste reference'!$A$7:$A$892,0)))</f>
        <v>570</v>
      </c>
      <c r="AA28" s="460" t="s">
        <v>2684</v>
      </c>
      <c r="AB28" s="461"/>
      <c r="AC28" s="461"/>
      <c r="BC28" s="250" t="n">
        <f aca="false">IF(A28="","",1)</f>
        <v>1</v>
      </c>
    </row>
    <row r="29" customFormat="false" ht="12.75" hidden="false" customHeight="false" outlineLevel="0" collapsed="false">
      <c r="A29" s="462" t="s">
        <v>2472</v>
      </c>
      <c r="B29" s="463" t="n">
        <v>0.01</v>
      </c>
      <c r="C29" s="464" t="n">
        <v>0.005</v>
      </c>
      <c r="D29" s="465" t="str">
        <f aca="false">IF(ISERROR(VLOOKUP($A29,'liste reference'!$A$7:$D$892,2,0)),IF(ISERROR(VLOOKUP($A29,'liste reference'!$B$7:$D$892,1,0)),"",VLOOKUP($A29,'liste reference'!$B$7:$D$892,1,0)),VLOOKUP($A29,'liste reference'!$A$7:$D$892,2,0))</f>
        <v>Tolypothrix sp.</v>
      </c>
      <c r="E29" s="465" t="e">
        <f aca="false">IF(D29="",0,VLOOKUP(D29,D$22:D28,1,0))</f>
        <v>#N/A</v>
      </c>
      <c r="F29" s="466" t="n">
        <f aca="false">($B29*$B$7+$C29*$C$7)/100</f>
        <v>0.00765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0</v>
      </c>
      <c r="J29" s="451" t="n">
        <f aca="false">IF(ISNUMBER(H29),IF(ISERROR(VLOOKUP($A29,'liste reference'!$A$7:$P$892,4,0)),IF(ISERROR(VLOOKUP($A29,'liste reference'!$B$7:$P$892,3,0)),"",VLOOKUP($A29,'liste reference'!$B$7:$P$892,3,0)),VLOOKUP($A29,'liste reference'!$A$7:$P$892,4,0)),"")</f>
        <v>0</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Tolypothrix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634</v>
      </c>
      <c r="Q29" s="455" t="n">
        <f aca="false">IF(ISTEXT(H29),"",(B29*$B$7/100)+(C29*$C$7/100))</f>
        <v>0.00765</v>
      </c>
      <c r="R29" s="456" t="n">
        <f aca="false">IF(OR(ISTEXT(H29),Q29=0),"",IF(Q29&lt;0.1,1,IF(Q29&lt;1,2,IF(Q29&lt;10,3,IF(Q29&lt;50,4,IF(Q29&gt;=50,5,""))))))</f>
        <v>1</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TOYSPX</v>
      </c>
      <c r="Z29" s="250" t="n">
        <f aca="false">IF(ISERROR(MATCH(A29,'liste reference'!$A$7:$A$892,0)),IF(ISERROR(MATCH(A29,'liste reference'!$B$7:$B$892,0)),"",(MATCH(A29,'liste reference'!$B$7:$B$892,0))),(MATCH(A29,'liste reference'!$A$7:$A$892,0)))</f>
        <v>840</v>
      </c>
      <c r="AA29" s="460"/>
      <c r="AB29" s="461"/>
      <c r="AC29" s="461"/>
      <c r="BC29" s="250" t="n">
        <f aca="false">IF(A29="","",1)</f>
        <v>1</v>
      </c>
    </row>
    <row r="30" customFormat="false" ht="12.75" hidden="false" customHeight="false" outlineLevel="0" collapsed="false">
      <c r="A30" s="462" t="s">
        <v>2578</v>
      </c>
      <c r="B30" s="463" t="n">
        <v>3.25</v>
      </c>
      <c r="C30" s="464" t="n">
        <v>2.1</v>
      </c>
      <c r="D30" s="465" t="str">
        <f aca="false">IF(ISERROR(VLOOKUP($A30,'liste reference'!$A$7:$D$892,2,0)),IF(ISERROR(VLOOKUP($A30,'liste reference'!$B$7:$D$892,1,0)),"",VLOOKUP($A30,'liste reference'!$B$7:$D$892,1,0)),VLOOKUP($A30,'liste reference'!$A$7:$D$892,2,0))</f>
        <v>Zygnema sp.</v>
      </c>
      <c r="E30" s="465" t="e">
        <f aca="false">IF(D30="",0,VLOOKUP(D30,D$22:D29,1,0))</f>
        <v>#N/A</v>
      </c>
      <c r="F30" s="466" t="n">
        <f aca="false">($B30*$B$7+$C30*$C$7)/100</f>
        <v>2.7095</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13</v>
      </c>
      <c r="J30" s="451" t="n">
        <f aca="false">IF(ISNUMBER(H30),IF(ISERROR(VLOOKUP($A30,'liste reference'!$A$7:$P$892,4,0)),IF(ISERROR(VLOOKUP($A30,'liste reference'!$B$7:$P$892,3,0)),"",VLOOKUP($A30,'liste reference'!$B$7:$P$892,3,0)),VLOOKUP($A30,'liste reference'!$A$7:$P$892,4,0)),"")</f>
        <v>3</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Zygnema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1148</v>
      </c>
      <c r="Q30" s="455" t="n">
        <f aca="false">IF(ISTEXT(H30),"",(B30*$B$7/100)+(C30*$C$7/100))</f>
        <v>2.7095</v>
      </c>
      <c r="R30" s="456" t="n">
        <f aca="false">IF(OR(ISTEXT(H30),Q30=0),"",IF(Q30&lt;0.1,1,IF(Q30&lt;1,2,IF(Q30&lt;10,3,IF(Q30&lt;50,4,IF(Q30&gt;=50,5,""))))))</f>
        <v>3</v>
      </c>
      <c r="S30" s="456" t="n">
        <f aca="false">IF(ISERROR(R30*I30),0,R30*I30)</f>
        <v>39</v>
      </c>
      <c r="T30" s="456" t="n">
        <f aca="false">IF(ISERROR(R30*I30*J30),0,R30*I30*J30)</f>
        <v>117</v>
      </c>
      <c r="U30" s="470" t="n">
        <f aca="false">IF(ISERROR(R30*J30),0,R30*J30)</f>
        <v>9</v>
      </c>
      <c r="V30" s="457" t="n">
        <v>9</v>
      </c>
      <c r="W30" s="458"/>
      <c r="X30" s="458"/>
      <c r="Y30" s="459" t="str">
        <f aca="false">IF(A30="new.cod","NEWCOD",IF(AND((Z30=""),ISTEXT(A30)),A30,IF(Z30="","",INDEX('liste reference'!$A$7:$A$892,Z30))))</f>
        <v>ZYGSPX</v>
      </c>
      <c r="Z30" s="250" t="n">
        <f aca="false">IF(ISERROR(MATCH(A30,'liste reference'!$A$7:$A$892,0)),IF(ISERROR(MATCH(A30,'liste reference'!$B$7:$B$892,0)),"",(MATCH(A30,'liste reference'!$B$7:$B$892,0))),(MATCH(A30,'liste reference'!$A$7:$A$892,0)))</f>
        <v>886</v>
      </c>
      <c r="AA30" s="460"/>
      <c r="AB30" s="461"/>
      <c r="AC30" s="461"/>
      <c r="BC30" s="250" t="n">
        <f aca="false">IF(A30="","",1)</f>
        <v>1</v>
      </c>
    </row>
    <row r="31" customFormat="false" ht="12.75" hidden="false" customHeight="false" outlineLevel="0" collapsed="false">
      <c r="A31" s="462" t="s">
        <v>979</v>
      </c>
      <c r="B31" s="463" t="n">
        <v>0.2</v>
      </c>
      <c r="C31" s="464" t="n">
        <v>0.2</v>
      </c>
      <c r="D31" s="465" t="str">
        <f aca="false">IF(ISERROR(VLOOKUP($A31,'liste reference'!$A$7:$D$892,2,0)),IF(ISERROR(VLOOKUP($A31,'liste reference'!$B$7:$D$892,1,0)),"",VLOOKUP($A31,'liste reference'!$B$7:$D$892,1,0)),VLOOKUP($A31,'liste reference'!$A$7:$D$892,2,0))</f>
        <v>Fontinalis squamosa</v>
      </c>
      <c r="E31" s="465" t="e">
        <f aca="false">IF(D31="",0,VLOOKUP(D31,D$22:D30,1,0))</f>
        <v>#N/A</v>
      </c>
      <c r="F31" s="466" t="n">
        <f aca="false">($B31*$B$7+$C31*$C$7)/100</f>
        <v>0.2</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16</v>
      </c>
      <c r="J31" s="451" t="n">
        <f aca="false">IF(ISNUMBER(H31),IF(ISERROR(VLOOKUP($A31,'liste reference'!$A$7:$P$892,4,0)),IF(ISERROR(VLOOKUP($A31,'liste reference'!$B$7:$P$892,3,0)),"",VLOOKUP($A31,'liste reference'!$B$7:$P$892,3,0)),VLOOKUP($A31,'liste reference'!$A$7:$P$892,4,0)),"")</f>
        <v>3</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Fontinalis squamosa</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1312</v>
      </c>
      <c r="Q31" s="455" t="n">
        <f aca="false">IF(ISTEXT(H31),"",(B31*$B$7/100)+(C31*$C$7/100))</f>
        <v>0.2</v>
      </c>
      <c r="R31" s="456" t="n">
        <f aca="false">IF(OR(ISTEXT(H31),Q31=0),"",IF(Q31&lt;0.1,1,IF(Q31&lt;1,2,IF(Q31&lt;10,3,IF(Q31&lt;50,4,IF(Q31&gt;=50,5,""))))))</f>
        <v>2</v>
      </c>
      <c r="S31" s="456" t="n">
        <f aca="false">IF(ISERROR(R31*I31),0,R31*I31)</f>
        <v>32</v>
      </c>
      <c r="T31" s="456" t="n">
        <f aca="false">IF(ISERROR(R31*I31*J31),0,R31*I31*J31)</f>
        <v>96</v>
      </c>
      <c r="U31" s="470" t="n">
        <f aca="false">IF(ISERROR(R31*J31),0,R31*J31)</f>
        <v>6</v>
      </c>
      <c r="V31" s="457" t="n">
        <v>6</v>
      </c>
      <c r="W31" s="458"/>
      <c r="Y31" s="459" t="str">
        <f aca="false">IF(A31="new.cod","NEWCOD",IF(AND((Z31=""),ISTEXT(A31)),A31,IF(Z31="","",INDEX('liste reference'!$A$7:$A$892,Z31))))</f>
        <v>FONSQU</v>
      </c>
      <c r="Z31" s="250" t="n">
        <f aca="false">IF(ISERROR(MATCH(A31,'liste reference'!$A$7:$A$892,0)),IF(ISERROR(MATCH(A31,'liste reference'!$B$7:$B$892,0)),"",(MATCH(A31,'liste reference'!$B$7:$B$892,0))),(MATCH(A31,'liste reference'!$A$7:$A$892,0)))</f>
        <v>308</v>
      </c>
      <c r="AA31" s="460"/>
      <c r="AB31" s="461"/>
      <c r="AC31" s="461"/>
      <c r="BC31" s="250" t="n">
        <f aca="false">IF(A31="","",1)</f>
        <v>1</v>
      </c>
    </row>
    <row r="32" customFormat="false" ht="12.75" hidden="false" customHeight="false" outlineLevel="0" collapsed="false">
      <c r="A32" s="462" t="s">
        <v>2077</v>
      </c>
      <c r="B32" s="463" t="n">
        <v>0.005</v>
      </c>
      <c r="C32" s="464"/>
      <c r="D32" s="465" t="str">
        <f aca="false">IF(ISERROR(VLOOKUP($A32,'liste reference'!$A$7:$D$892,2,0)),IF(ISERROR(VLOOKUP($A32,'liste reference'!$B$7:$D$892,1,0)),"",VLOOKUP($A32,'liste reference'!$B$7:$D$892,1,0)),VLOOKUP($A32,'liste reference'!$A$7:$D$892,2,0))</f>
        <v>Rhynchostegium riparioides</v>
      </c>
      <c r="E32" s="465" t="e">
        <f aca="false">IF(D32="",0,VLOOKUP(D32,D$22:D31,1,0))</f>
        <v>#N/A</v>
      </c>
      <c r="F32" s="466" t="n">
        <f aca="false">($B32*$B$7+$C32*$C$7)/100</f>
        <v>0.00265</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12</v>
      </c>
      <c r="J32" s="451" t="n">
        <f aca="false">IF(ISNUMBER(H32),IF(ISERROR(VLOOKUP($A32,'liste reference'!$A$7:$P$892,4,0)),IF(ISERROR(VLOOKUP($A32,'liste reference'!$B$7:$P$892,3,0)),"",VLOOKUP($A32,'liste reference'!$B$7:$P$892,3,0)),VLOOKUP($A32,'liste reference'!$A$7:$P$892,4,0)),"")</f>
        <v>1</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Rhynchostegium riparioides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1268</v>
      </c>
      <c r="Q32" s="455" t="n">
        <f aca="false">IF(ISTEXT(H32),"",(B32*$B$7/100)+(C32*$C$7/100))</f>
        <v>0.00265</v>
      </c>
      <c r="R32" s="456" t="n">
        <f aca="false">IF(OR(ISTEXT(H32),Q32=0),"",IF(Q32&lt;0.1,1,IF(Q32&lt;1,2,IF(Q32&lt;10,3,IF(Q32&lt;50,4,IF(Q32&gt;=50,5,""))))))</f>
        <v>1</v>
      </c>
      <c r="S32" s="456" t="n">
        <f aca="false">IF(ISERROR(R32*I32),0,R32*I32)</f>
        <v>12</v>
      </c>
      <c r="T32" s="456" t="n">
        <f aca="false">IF(ISERROR(R32*I32*J32),0,R32*I32*J32)</f>
        <v>12</v>
      </c>
      <c r="U32" s="470" t="n">
        <f aca="false">IF(ISERROR(R32*J32),0,R32*J32)</f>
        <v>1</v>
      </c>
      <c r="V32" s="457" t="n">
        <v>1</v>
      </c>
      <c r="W32" s="458"/>
      <c r="Y32" s="459" t="str">
        <f aca="false">IF(A32="new.cod","NEWCOD",IF(AND((Z32=""),ISTEXT(A32)),A32,IF(Z32="","",INDEX('liste reference'!$A$7:$A$892,Z32))))</f>
        <v>RHYRIP</v>
      </c>
      <c r="Z32" s="250" t="n">
        <f aca="false">IF(ISERROR(MATCH(A32,'liste reference'!$A$7:$A$892,0)),IF(ISERROR(MATCH(A32,'liste reference'!$B$7:$B$892,0)),"",(MATCH(A32,'liste reference'!$B$7:$B$892,0))),(MATCH(A32,'liste reference'!$A$7:$A$892,0)))</f>
        <v>705</v>
      </c>
      <c r="AA32" s="460"/>
      <c r="AB32" s="461"/>
      <c r="AC32" s="461"/>
      <c r="BC32" s="250" t="n">
        <f aca="false">IF(A32="","",1)</f>
        <v>1</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RESTONICA</v>
      </c>
      <c r="B84" s="493" t="str">
        <f aca="false">C3</f>
        <v>Corte</v>
      </c>
      <c r="C84" s="494" t="n">
        <f aca="false">A4</f>
        <v>41074</v>
      </c>
      <c r="D84" s="495" t="n">
        <f aca="false">IF(ISERROR(SUM($T$23:$T$82)/SUM($U$23:$U$82)),"",SUM($T$23:$T$82)/SUM($U$23:$U$82))</f>
        <v>14.2820512820513</v>
      </c>
      <c r="E84" s="496" t="n">
        <f aca="false">N13</f>
        <v>10</v>
      </c>
      <c r="F84" s="493" t="n">
        <f aca="false">N14</f>
        <v>10</v>
      </c>
      <c r="G84" s="493" t="n">
        <f aca="false">N15</f>
        <v>1</v>
      </c>
      <c r="H84" s="493" t="n">
        <f aca="false">N16</f>
        <v>5</v>
      </c>
      <c r="I84" s="493" t="n">
        <f aca="false">N17</f>
        <v>3</v>
      </c>
      <c r="J84" s="497" t="n">
        <f aca="false">N8</f>
        <v>12.6</v>
      </c>
      <c r="K84" s="495" t="n">
        <f aca="false">N9</f>
        <v>4.99332888295307</v>
      </c>
      <c r="L84" s="496" t="n">
        <f aca="false">N10</f>
        <v>0</v>
      </c>
      <c r="M84" s="496" t="n">
        <f aca="false">N11</f>
        <v>18</v>
      </c>
      <c r="N84" s="495" t="n">
        <f aca="false">O8</f>
        <v>2</v>
      </c>
      <c r="O84" s="495" t="n">
        <f aca="false">O9</f>
        <v>0.942809041582063</v>
      </c>
      <c r="P84" s="496" t="n">
        <f aca="false">O10</f>
        <v>0</v>
      </c>
      <c r="Q84" s="496" t="n">
        <f aca="false">O11</f>
        <v>3</v>
      </c>
      <c r="R84" s="496" t="n">
        <f aca="false">F21</f>
        <v>9.80085</v>
      </c>
      <c r="S84" s="496" t="n">
        <f aca="false">K11</f>
        <v>0</v>
      </c>
      <c r="T84" s="496" t="n">
        <f aca="false">K12</f>
        <v>8</v>
      </c>
      <c r="U84" s="496" t="n">
        <f aca="false">K13</f>
        <v>2</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45</v>
      </c>
      <c r="T87" s="250"/>
      <c r="U87" s="250"/>
      <c r="V87" s="250"/>
    </row>
    <row r="88" customFormat="false" ht="12.75" hidden="true" customHeight="false" outlineLevel="0" collapsed="false">
      <c r="P88" s="250"/>
      <c r="Q88" s="250" t="s">
        <v>2688</v>
      </c>
      <c r="R88" s="250"/>
      <c r="S88" s="457" t="n">
        <f aca="false">VLOOKUP((S87),($S$23:$U$82),2,0)</f>
        <v>90</v>
      </c>
      <c r="T88" s="250"/>
      <c r="U88" s="250"/>
      <c r="V88" s="250"/>
    </row>
    <row r="89" customFormat="false" ht="12.75" hidden="false" customHeight="false" outlineLevel="0" collapsed="false">
      <c r="Q89" s="250" t="s">
        <v>2689</v>
      </c>
      <c r="R89" s="250"/>
      <c r="S89" s="457" t="n">
        <f aca="false">VLOOKUP((S87),($S$23:$U$82),3,0)</f>
        <v>6</v>
      </c>
      <c r="T89" s="250"/>
    </row>
    <row r="90" customFormat="false" ht="12.75" hidden="false" customHeight="false" outlineLevel="0" collapsed="false">
      <c r="Q90" s="250" t="s">
        <v>2690</v>
      </c>
      <c r="R90" s="250"/>
      <c r="S90" s="502" t="n">
        <f aca="false">IF(ISERROR(SUM($T$23:$T$82)/SUM($U$23:$U$82)),"",(SUM($T$23:$T$82)-S88)/(SUM($U$23:$U$82)-S89))</f>
        <v>14.1515151515152</v>
      </c>
      <c r="T90" s="250"/>
    </row>
    <row r="91" customFormat="false" ht="12.75" hidden="false" customHeight="false" outlineLevel="0" collapsed="false">
      <c r="Q91" s="456" t="s">
        <v>2691</v>
      </c>
      <c r="R91" s="456"/>
      <c r="S91" s="456" t="str">
        <f aca="false">INDEX('liste reference'!$A$7:$A$892,$T$91)</f>
        <v>LEASPX</v>
      </c>
      <c r="T91" s="250" t="n">
        <f aca="false">IF(ISERROR(MATCH($S$93,'liste reference'!$A$7:$A$892,0)),MATCH($S$93,'liste reference'!$B$7:$B$892,0),(MATCH($S$93,'liste reference'!$A$7:$A$892,0)))</f>
        <v>407</v>
      </c>
      <c r="U91" s="491"/>
    </row>
    <row r="92" customFormat="false" ht="12.75" hidden="false" customHeight="false" outlineLevel="0" collapsed="false">
      <c r="Q92" s="250" t="s">
        <v>2692</v>
      </c>
      <c r="R92" s="250"/>
      <c r="S92" s="250" t="n">
        <f aca="false">MATCH(S87,$S$23:$S$82,0)</f>
        <v>4</v>
      </c>
      <c r="T92" s="250"/>
    </row>
    <row r="93" customFormat="false" ht="12.75" hidden="false" customHeight="false" outlineLevel="0" collapsed="false">
      <c r="Q93" s="456" t="s">
        <v>2693</v>
      </c>
      <c r="R93" s="250"/>
      <c r="S93" s="456" t="str">
        <f aca="false">INDEX($A$23:$A$82,$S$92)</f>
        <v>LEASPX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2694</v>
      </c>
      <c r="B2" s="254"/>
      <c r="C2" s="255" t="s">
        <v>2695</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2696</v>
      </c>
      <c r="B3" s="254"/>
      <c r="C3" s="253" t="s">
        <v>2697</v>
      </c>
      <c r="D3" s="264"/>
      <c r="E3" s="264"/>
      <c r="F3" s="265"/>
      <c r="G3" s="265"/>
      <c r="H3" s="266"/>
      <c r="I3" s="267"/>
      <c r="J3" s="266"/>
      <c r="K3" s="268" t="s">
        <v>2698</v>
      </c>
      <c r="L3" s="269"/>
      <c r="M3" s="270" t="s">
        <v>2699</v>
      </c>
      <c r="N3" s="271"/>
      <c r="O3" s="271"/>
      <c r="P3" s="272"/>
      <c r="Q3" s="250"/>
      <c r="R3" s="250"/>
      <c r="S3" s="250"/>
      <c r="T3" s="250"/>
      <c r="U3" s="250"/>
      <c r="V3" s="250"/>
      <c r="W3" s="262"/>
      <c r="X3" s="263"/>
    </row>
    <row r="4" customFormat="false" ht="13.5" hidden="false" customHeight="false" outlineLevel="0" collapsed="false">
      <c r="A4" s="273" t="s">
        <v>2700</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2701</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2685</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2686</v>
      </c>
      <c r="R86" s="250"/>
      <c r="S86" s="457"/>
      <c r="T86" s="250"/>
      <c r="U86" s="250"/>
      <c r="V86" s="250"/>
    </row>
    <row r="87" customFormat="false" ht="12.75" hidden="true" customHeight="false" outlineLevel="0" collapsed="false">
      <c r="P87" s="250"/>
      <c r="Q87" s="250" t="s">
        <v>2687</v>
      </c>
      <c r="R87" s="250"/>
      <c r="S87" s="457" t="n">
        <f aca="false">VLOOKUP(MAX($S$23:$S$82),($S$23:$U$82),1,0)</f>
        <v>0</v>
      </c>
      <c r="T87" s="250"/>
      <c r="U87" s="250"/>
      <c r="V87" s="250"/>
    </row>
    <row r="88" customFormat="false" ht="12.75" hidden="true" customHeight="false" outlineLevel="0" collapsed="false">
      <c r="P88" s="250"/>
      <c r="Q88" s="250" t="s">
        <v>2688</v>
      </c>
      <c r="R88" s="250"/>
      <c r="S88" s="457" t="n">
        <f aca="false">VLOOKUP((S87),($S$23:$U$82),2,0)</f>
        <v>0</v>
      </c>
      <c r="T88" s="250"/>
      <c r="U88" s="250"/>
      <c r="V88" s="250"/>
    </row>
    <row r="89" customFormat="false" ht="12.75" hidden="false" customHeight="false" outlineLevel="0" collapsed="false">
      <c r="Q89" s="250" t="s">
        <v>2689</v>
      </c>
      <c r="R89" s="250"/>
      <c r="S89" s="457" t="n">
        <f aca="false">VLOOKUP((S87),($S$23:$U$82),3,0)</f>
        <v>0</v>
      </c>
      <c r="T89" s="250"/>
    </row>
    <row r="90" customFormat="false" ht="12.75" hidden="false" customHeight="false" outlineLevel="0" collapsed="false">
      <c r="Q90" s="250" t="s">
        <v>2690</v>
      </c>
      <c r="R90" s="250"/>
      <c r="S90" s="502" t="str">
        <f aca="false">IF(ISERROR(SUM($T$23:$T$82)/SUM($U$23:$U$82)),"",(SUM($T$23:$T$82)-S88)/(SUM($U$23:$U$82)-S89))</f>
        <v/>
      </c>
      <c r="T90" s="250"/>
    </row>
    <row r="91" customFormat="false" ht="12.75" hidden="false" customHeight="false" outlineLevel="0" collapsed="false">
      <c r="Q91" s="456" t="s">
        <v>2691</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2692</v>
      </c>
      <c r="R92" s="250"/>
      <c r="S92" s="250" t="n">
        <f aca="false">MATCH(S87,$S$23:$S$82,0)</f>
        <v>1</v>
      </c>
      <c r="T92" s="250"/>
    </row>
    <row r="93" customFormat="false" ht="12.75" hidden="false" customHeight="false" outlineLevel="0" collapsed="false">
      <c r="Q93" s="456" t="s">
        <v>2693</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2702</v>
      </c>
      <c r="B1" s="513"/>
      <c r="C1" s="513"/>
      <c r="D1" s="513"/>
    </row>
    <row r="2" customFormat="false" ht="15" hidden="false" customHeight="false" outlineLevel="0" collapsed="false">
      <c r="A2" s="514" t="s">
        <v>2703</v>
      </c>
      <c r="B2" s="515"/>
      <c r="C2" s="516"/>
      <c r="D2" s="516"/>
    </row>
    <row r="3" customFormat="false" ht="15.75" hidden="false" customHeight="false" outlineLevel="0" collapsed="false">
      <c r="A3" s="514" t="s">
        <v>2704</v>
      </c>
      <c r="B3" s="515"/>
      <c r="C3" s="516"/>
      <c r="D3" s="517" t="s">
        <v>2705</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2706</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2707</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2708</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2709</v>
      </c>
      <c r="C15" s="532"/>
      <c r="D15" s="533"/>
      <c r="F15" s="534" t="s">
        <v>2710</v>
      </c>
      <c r="G15" s="535"/>
      <c r="H15" s="536" t="s">
        <v>2711</v>
      </c>
      <c r="I15" s="535"/>
    </row>
    <row r="16" customFormat="false" ht="12.75" hidden="false" customHeight="false" outlineLevel="0" collapsed="false">
      <c r="A16" s="531" t="s">
        <v>72</v>
      </c>
      <c r="B16" s="530" t="s">
        <v>73</v>
      </c>
      <c r="C16" s="532"/>
      <c r="D16" s="533"/>
      <c r="F16" s="537" t="s">
        <v>2712</v>
      </c>
      <c r="G16" s="538"/>
      <c r="H16" s="537" t="s">
        <v>2712</v>
      </c>
      <c r="I16" s="539"/>
    </row>
    <row r="17" customFormat="false" ht="12.75" hidden="false" customHeight="false" outlineLevel="0" collapsed="false">
      <c r="A17" s="529" t="s">
        <v>75</v>
      </c>
      <c r="B17" s="530" t="s">
        <v>76</v>
      </c>
      <c r="C17" s="532"/>
      <c r="D17" s="533"/>
      <c r="F17" s="540" t="s">
        <v>2713</v>
      </c>
      <c r="G17" s="541"/>
      <c r="H17" s="540" t="s">
        <v>2713</v>
      </c>
      <c r="I17" s="542"/>
    </row>
    <row r="18" customFormat="false" ht="12.75" hidden="false" customHeight="false" outlineLevel="0" collapsed="false">
      <c r="A18" s="529" t="s">
        <v>78</v>
      </c>
      <c r="B18" s="530" t="s">
        <v>2714</v>
      </c>
      <c r="C18" s="532"/>
      <c r="D18" s="533"/>
      <c r="F18" s="540" t="s">
        <v>2715</v>
      </c>
      <c r="G18" s="541"/>
      <c r="H18" s="540" t="s">
        <v>2715</v>
      </c>
      <c r="I18" s="542"/>
    </row>
    <row r="19" customFormat="false" ht="12.75" hidden="false" customHeight="false" outlineLevel="0" collapsed="false">
      <c r="A19" s="529" t="s">
        <v>82</v>
      </c>
      <c r="B19" s="530" t="s">
        <v>83</v>
      </c>
      <c r="C19" s="532"/>
      <c r="D19" s="533"/>
      <c r="F19" s="540" t="s">
        <v>2716</v>
      </c>
      <c r="G19" s="541"/>
      <c r="H19" s="540" t="s">
        <v>2716</v>
      </c>
      <c r="I19" s="542"/>
    </row>
    <row r="20" customFormat="false" ht="12.75" hidden="false" customHeight="false" outlineLevel="0" collapsed="false">
      <c r="A20" s="531" t="s">
        <v>85</v>
      </c>
      <c r="B20" s="530" t="s">
        <v>86</v>
      </c>
      <c r="C20" s="532"/>
      <c r="D20" s="533"/>
      <c r="F20" s="540" t="s">
        <v>2625</v>
      </c>
      <c r="G20" s="541"/>
      <c r="H20" s="540" t="s">
        <v>2625</v>
      </c>
      <c r="I20" s="542"/>
    </row>
    <row r="21" customFormat="false" ht="12.75" hidden="false" customHeight="false" outlineLevel="0" collapsed="false">
      <c r="A21" s="531" t="s">
        <v>91</v>
      </c>
      <c r="B21" s="530" t="s">
        <v>92</v>
      </c>
      <c r="C21" s="532"/>
      <c r="D21" s="533"/>
      <c r="F21" s="540" t="s">
        <v>2717</v>
      </c>
      <c r="G21" s="541"/>
      <c r="H21" s="540" t="s">
        <v>2717</v>
      </c>
      <c r="I21" s="542"/>
    </row>
    <row r="22" customFormat="false" ht="12.75" hidden="false" customHeight="false" outlineLevel="0" collapsed="false">
      <c r="A22" s="529" t="s">
        <v>97</v>
      </c>
      <c r="B22" s="530" t="s">
        <v>98</v>
      </c>
      <c r="C22" s="532"/>
      <c r="D22" s="533"/>
      <c r="F22" s="540" t="s">
        <v>2626</v>
      </c>
      <c r="G22" s="541"/>
      <c r="H22" s="540" t="s">
        <v>2626</v>
      </c>
      <c r="I22" s="542"/>
    </row>
    <row r="23" customFormat="false" ht="12.75" hidden="false" customHeight="false" outlineLevel="0" collapsed="false">
      <c r="A23" s="529" t="s">
        <v>99</v>
      </c>
      <c r="B23" s="530" t="s">
        <v>2718</v>
      </c>
      <c r="C23" s="532"/>
      <c r="D23" s="533"/>
      <c r="F23" s="540" t="s">
        <v>2719</v>
      </c>
      <c r="G23" s="541"/>
      <c r="H23" s="540" t="s">
        <v>2719</v>
      </c>
      <c r="I23" s="542"/>
    </row>
    <row r="24" customFormat="false" ht="12.75" hidden="false" customHeight="false" outlineLevel="0" collapsed="false">
      <c r="A24" s="529" t="s">
        <v>102</v>
      </c>
      <c r="B24" s="530" t="s">
        <v>103</v>
      </c>
      <c r="C24" s="532"/>
      <c r="D24" s="533"/>
      <c r="F24" s="540" t="s">
        <v>2720</v>
      </c>
      <c r="G24" s="541"/>
      <c r="H24" s="540" t="s">
        <v>2720</v>
      </c>
      <c r="I24" s="542"/>
    </row>
    <row r="25" customFormat="false" ht="12.75" hidden="false" customHeight="false" outlineLevel="0" collapsed="false">
      <c r="A25" s="529" t="s">
        <v>105</v>
      </c>
      <c r="B25" s="530" t="s">
        <v>106</v>
      </c>
      <c r="C25" s="532"/>
      <c r="D25" s="533"/>
      <c r="F25" s="543" t="s">
        <v>2721</v>
      </c>
      <c r="G25" s="544"/>
      <c r="H25" s="543" t="s">
        <v>2721</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2722</v>
      </c>
      <c r="C28" s="532"/>
      <c r="D28" s="533"/>
      <c r="F28" s="546" t="s">
        <v>2681</v>
      </c>
    </row>
    <row r="29" customFormat="false" ht="12.75" hidden="false" customHeight="false" outlineLevel="0" collapsed="false">
      <c r="A29" s="529" t="s">
        <v>114</v>
      </c>
      <c r="B29" s="530" t="s">
        <v>2723</v>
      </c>
      <c r="C29" s="532"/>
      <c r="D29" s="533"/>
      <c r="F29" s="547" t="s">
        <v>2684</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2012-11-28T12:49:24Z</dcterms:modified>
  <cp:revision>0</cp:revision>
  <dc:subject/>
  <dc:title>Feuille d'aide au calcul de l'IBMR</dc:title>
</cp:coreProperties>
</file>