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avignano a Aleri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'Tavignano a Aleria'!$A$1:$O$82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'Tavignano a Aleria'!$A$23:$J$84</definedName>
    <definedName function="false" hidden="false" localSheetId="5" name="NOM" vbProcedure="false">'Tavignano a Aleria'!$H$1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<sst xmlns="http://schemas.openxmlformats.org/spreadsheetml/2006/main" count="7371" uniqueCount="3130">
  <si>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</si>
  <si>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</si>
  <si>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</si>
  <si>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</si>
  <si>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</si>
  <si>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</si>
  <si>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</si>
  <si>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</si>
  <si>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</si>
  <si>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</si>
  <si>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</si>
  <si>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</si>
  <si>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</si>
  <si>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</si>
  <si>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</si>
  <si>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</si>
  <si>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</si>
  <si>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</si>
  <si>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</si>
  <si>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</si>
  <si>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</si>
  <si>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</si>
  <si>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</si>
  <si>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</si>
  <si>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</si>
  <si>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</si>
  <si>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</si>
  <si>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</si>
  <si>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</si>
  <si>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</si>
  <si>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</si>
  <si>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</si>
  <si>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</si>
  <si>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</si>
  <si>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</si>
  <si>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</si>
  <si>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</si>
  <si>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</si>
  <si>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</si>
  <si>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</si>
  <si>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</si>
  <si>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</si>
  <si>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</si>
  <si>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</si>
  <si>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</si>
  <si>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</si>
  <si>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</si>
  <si>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</si>
  <si>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</si>
  <si>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</si>
  <si>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</si>
  <si>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</si>
  <si>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</si>
  <si>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</si>
  <si>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</si>
  <si>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</si>
  <si>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</si>
  <si>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</si>
  <si>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</si>
  <si>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</si>
  <si>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</si>
  <si>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</si>
  <si>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</si>
  <si>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</si>
  <si>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</si>
  <si>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</si>
  <si>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</si>
  <si>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</si>
  <si>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</si>
  <si>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</si>
  <si>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</si>
  <si>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</si>
  <si>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</si>
  <si>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</si>
  <si>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</si>
  <si>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</si>
  <si>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</si>
  <si>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</si>
  <si>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</si>
  <si>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</si>
  <si>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</si>
  <si>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</si>
  <si>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</si>
  <si>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</si>
  <si>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</si>
  <si>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</si>
  <si>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</si>
  <si>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</si>
  <si>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</si>
  <si>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</si>
  <si>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</si>
  <si>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</si>
  <si>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</si>
  <si>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</si>
  <si>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</si>
  <si>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</si>
  <si>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</si>
  <si>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</si>
  <si>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</si>
  <si>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</si>
  <si>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</si>
  <si>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</si>
  <si>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</si>
  <si>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</si>
  <si>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</si>
  <si>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</si>
  <si>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</si>
  <si>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</si>
  <si>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</si>
  <si>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</si>
  <si>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</si>
  <si>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</si>
  <si>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</si>
  <si>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</si>
  <si>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</si>
  <si>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</si>
  <si>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</si>
  <si>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</si>
  <si>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</si>
  <si>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</si>
  <si>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</si>
  <si>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</si>
  <si>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</si>
  <si>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</si>
  <si>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</si>
  <si>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</si>
  <si>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</si>
  <si>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</si>
  <si>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</si>
  <si>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</si>
  <si>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</si>
  <si>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</si>
  <si>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</si>
  <si>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</si>
  <si>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</si>
  <si>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</si>
  <si>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</si>
  <si>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</si>
  <si>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</si>
  <si>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</si>
  <si>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</si>
  <si>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</si>
  <si>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</si>
  <si>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</si>
  <si>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</si>
  <si>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</si>
  <si>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</si>
  <si>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</si>
  <si>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</si>
  <si>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</si>
  <si>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</si>
  <si>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</si>
  <si>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</si>
  <si>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</si>
  <si>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</si>
  <si>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</si>
  <si>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</si>
  <si>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</si>
  <si>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</si>
  <si>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</si>
  <si>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</si>
  <si>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</si>
  <si>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</si>
  <si>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</si>
  <si>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</si>
  <si>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</si>
  <si>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</si>
  <si>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</si>
  <si>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</si>
  <si>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</si>
  <si>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</si>
  <si>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</si>
  <si>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</si>
  <si>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</si>
  <si>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</si>
  <si>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</si>
  <si>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</si>
  <si>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</si>
  <si>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</si>
  <si>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</si>
  <si>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</si>
  <si>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</si>
  <si>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</si>
  <si>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</si>
  <si>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</si>
  <si>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</si>
  <si>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</si>
  <si>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</si>
  <si>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</si>
  <si>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</si>
  <si>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</si>
  <si>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</si>
  <si>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</si>
  <si>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</si>
  <si>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</si>
  <si>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</si>
  <si>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</si>
  <si>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</si>
  <si>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</si>
  <si>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</si>
  <si>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</si>
  <si>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</si>
  <si>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</si>
  <si>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</si>
  <si>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</si>
  <si>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</si>
  <si>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</si>
  <si>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</si>
  <si>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</si>
  <si>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</si>
  <si>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</si>
  <si>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</si>
  <si>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</si>
  <si>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</si>
  <si>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</si>
  <si>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</si>
  <si>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</si>
  <si>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</si>
  <si>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</si>
  <si>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</si>
  <si>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</si>
  <si>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</si>
  <si>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</si>
  <si>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</si>
  <si>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</si>
  <si>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</si>
  <si>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</si>
  <si>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</si>
  <si>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</si>
  <si>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</si>
  <si>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</si>
  <si>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</si>
  <si>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</si>
  <si>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</si>
  <si>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</si>
  <si>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</si>
  <si>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</si>
  <si>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</si>
  <si>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</si>
  <si>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</si>
  <si>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</si>
  <si>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</si>
  <si>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</si>
  <si>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</si>
  <si>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</si>
  <si>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</si>
  <si>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</si>
  <si>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</si>
  <si>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</si>
  <si>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</si>
  <si>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</si>
  <si>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</si>
  <si>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</si>
  <si>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</si>
  <si>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</si>
  <si>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</si>
  <si>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</si>
  <si>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</si>
  <si>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</si>
  <si>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</si>
  <si>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</si>
  <si>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</si>
  <si>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</si>
  <si>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</si>
  <si>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</si>
  <si>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</si>
  <si>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</si>
  <si>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</si>
  <si>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</si>
  <si>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</si>
  <si>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</si>
  <si>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</si>
  <si>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</si>
  <si>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</si>
  <si>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</si>
  <si>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</si>
  <si>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</si>
  <si>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</si>
  <si>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</si>
  <si>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</si>
  <si>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</si>
  <si>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</si>
  <si>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</si>
  <si>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</si>
  <si>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</si>
  <si>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</si>
  <si>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</si>
  <si>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</si>
  <si>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</si>
  <si>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</si>
  <si>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</si>
  <si>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</si>
  <si>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</si>
  <si>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</si>
  <si>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</si>
  <si>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</si>
  <si>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</si>
  <si>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</si>
  <si>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</si>
  <si>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</si>
  <si>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</si>
  <si>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</si>
  <si>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</si>
  <si>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</si>
  <si>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</si>
  <si>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</si>
  <si>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</si>
  <si>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</si>
  <si>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</si>
  <si>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</si>
  <si>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</si>
  <si>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</si>
  <si>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</si>
  <si>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</si>
  <si>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</si>
  <si>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</si>
  <si>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</si>
  <si>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</si>
  <si>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</si>
  <si>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</si>
  <si>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</si>
  <si>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</si>
  <si>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</si>
  <si>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</si>
  <si>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</si>
  <si>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</si>
  <si>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</si>
  <si>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</si>
  <si>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</si>
  <si>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</si>
  <si>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</si>
  <si>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</si>
  <si>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</si>
  <si>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</si>
  <si>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</si>
  <si>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</si>
  <si>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</si>
  <si>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</si>
  <si>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</si>
  <si>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</si>
  <si>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</si>
  <si>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</si>
  <si>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</si>
  <si>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</si>
  <si>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</si>
  <si>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</si>
  <si>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</si>
  <si>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</si>
  <si>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</si>
  <si>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</si>
  <si>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</si>
  <si>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</si>
  <si>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</si>
  <si>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</si>
  <si>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</si>
  <si>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</si>
  <si>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</si>
  <si>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</si>
  <si>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</si>
  <si>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</si>
  <si>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</si>
  <si>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</si>
  <si>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</si>
  <si>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</si>
  <si>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</si>
  <si>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</si>
  <si>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</si>
  <si>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</si>
  <si>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</si>
  <si>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</si>
  <si>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</si>
  <si>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</si>
  <si>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</si>
  <si>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</si>
  <si>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</si>
  <si>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</si>
  <si>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</si>
  <si>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</si>
  <si>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</si>
  <si>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</si>
  <si>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</si>
  <si>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</si>
  <si>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</si>
  <si>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</si>
  <si>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</si>
  <si>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</si>
  <si>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</si>
  <si>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</si>
  <si>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</si>
  <si>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</si>
  <si>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</si>
  <si>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</si>
  <si>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</si>
  <si>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</si>
  <si>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</si>
  <si>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</si>
  <si>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</si>
  <si>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</si>
  <si>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</si>
  <si>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</si>
  <si>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</si>
  <si>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</si>
  <si>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</si>
  <si>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</si>
  <si>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</si>
  <si>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</si>
  <si>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</si>
  <si>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</si>
  <si>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</si>
  <si>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</si>
  <si>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</si>
  <si>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</si>
  <si>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</si>
  <si>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</si>
  <si>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</si>
  <si>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</si>
  <si>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</si>
  <si>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</si>
  <si>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</si>
  <si>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</si>
  <si>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</si>
  <si>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</si>
  <si>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</si>
  <si>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</si>
  <si>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</si>
  <si>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</si>
  <si>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</si>
  <si>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</si>
  <si>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</si>
  <si>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</si>
  <si>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</si>
  <si>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</si>
  <si>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</si>
  <si>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</si>
  <si>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</si>
  <si>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</si>
  <si>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</si>
  <si>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</si>
  <si>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</si>
  <si>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</si>
  <si>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</si>
  <si>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</si>
  <si>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</si>
  <si>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</si>
  <si>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</si>
  <si>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</si>
  <si>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</si>
  <si>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</si>
  <si>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</si>
  <si>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</si>
  <si>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</si>
  <si>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</si>
  <si>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</si>
  <si>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</si>
  <si>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</si>
  <si>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</si>
  <si>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</si>
  <si>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</si>
  <si>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</si>
  <si>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</si>
  <si>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</si>
  <si>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</si>
  <si>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</si>
  <si>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</si>
  <si>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</si>
  <si>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</si>
  <si>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</si>
  <si>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</si>
  <si>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</si>
  <si>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</si>
  <si>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</si>
  <si>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</si>
  <si>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</si>
  <si>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</si>
  <si>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</si>
  <si>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</si>
  <si>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</si>
  <si>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</si>
  <si>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</si>
  <si>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</si>
  <si>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</si>
  <si>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</si>
  <si>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</si>
  <si>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</si>
  <si>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</si>
  <si>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</si>
  <si>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</si>
  <si>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</si>
  <si>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</si>
  <si>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</si>
  <si>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</si>
  <si>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</si>
  <si>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</si>
  <si>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</si>
  <si>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</si>
  <si>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</si>
  <si>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</si>
  <si>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</si>
  <si>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</si>
  <si>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</si>
  <si>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</si>
  <si>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</si>
  <si>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</si>
  <si>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</si>
  <si>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</si>
  <si>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</si>
  <si>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</si>
  <si>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</si>
  <si>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</si>
  <si>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</si>
  <si>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</si>
  <si>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</si>
  <si>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</si>
  <si>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</si>
  <si>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</si>
  <si>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</si>
  <si>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</si>
  <si>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</si>
  <si>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</si>
  <si>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</si>
  <si>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</si>
  <si>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</si>
  <si>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</si>
  <si>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</si>
  <si>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</si>
  <si>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</si>
  <si>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</si>
  <si>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</si>
  <si>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</si>
  <si>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</si>
  <si>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</si>
  <si>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</si>
  <si>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</si>
  <si>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</si>
  <si>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</si>
  <si>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</si>
  <si>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</si>
  <si>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</si>
  <si>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</si>
  <si>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</si>
  <si>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</si>
  <si>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</si>
  <si>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</si>
  <si>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</si>
  <si>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</si>
  <si>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</si>
  <si>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</si>
  <si>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</si>
  <si>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</si>
  <si>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</si>
  <si>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</si>
  <si>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</si>
  <si>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</si>
  <si>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</si>
  <si>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</si>
  <si>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</si>
  <si>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</si>
  <si>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</si>
  <si>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</si>
  <si>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</si>
  <si>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</si>
  <si>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</si>
  <si>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</si>
  <si>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</si>
  <si>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</si>
  <si>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</si>
  <si>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</si>
  <si>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</si>
  <si>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</si>
  <si>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</si>
  <si>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</si>
  <si>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</si>
  <si>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</si>
  <si>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</si>
  <si>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</si>
  <si>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</si>
  <si>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</si>
  <si>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</si>
  <si>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</si>
  <si>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</si>
  <si>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</si>
  <si>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</si>
  <si>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</si>
  <si>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</si>
  <si>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</si>
  <si>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</si>
  <si>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</si>
  <si>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</si>
  <si>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</si>
  <si>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</si>
  <si>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</si>
  <si>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</si>
  <si>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</si>
  <si>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</si>
  <si>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</si>
  <si>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</si>
  <si>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</si>
  <si>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</si>
  <si>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</si>
  <si>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</si>
  <si>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</si>
  <si>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</si>
  <si>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</si>
  <si>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</si>
  <si>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</si>
  <si>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</si>
  <si>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</si>
  <si>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</si>
  <si>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</si>
  <si>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</si>
  <si>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</si>
  <si>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</si>
  <si>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</si>
  <si>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</si>
  <si>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</si>
  <si>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</si>
  <si>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</si>
  <si>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</si>
  <si>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</si>
  <si>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</si>
  <si>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</si>
  <si>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</si>
  <si>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</si>
  <si>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</si>
  <si>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</si>
  <si>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</si>
  <si>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</si>
  <si>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</si>
  <si>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</si>
  <si>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</si>
  <si>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</si>
  <si>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</si>
  <si>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</si>
  <si>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</si>
  <si>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</si>
  <si>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</si>
  <si>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</si>
  <si>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</si>
  <si>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</si>
  <si>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</si>
  <si>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</si>
  <si>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</si>
  <si>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</si>
  <si>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</si>
  <si>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</si>
  <si>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</si>
  <si>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</si>
  <si>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</si>
  <si>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</si>
  <si>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</si>
  <si>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</si>
  <si>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</si>
  <si>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</si>
  <si>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</si>
  <si>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</si>
  <si>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</si>
  <si>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</si>
  <si>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</si>
  <si>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</si>
  <si>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</si>
  <si>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</si>
  <si>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</si>
  <si>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</si>
  <si>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</si>
  <si>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</si>
  <si>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</si>
  <si>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</si>
  <si>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</si>
  <si>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</si>
  <si>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</si>
  <si>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</si>
  <si>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</si>
  <si>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</si>
  <si>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</si>
  <si>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</si>
  <si>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</si>
  <si>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</si>
  <si>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</si>
  <si>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</si>
  <si>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</si>
  <si>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</si>
  <si>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</si>
  <si>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</si>
  <si>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</si>
  <si>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</si>
  <si>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</si>
  <si>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</si>
  <si>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</si>
  <si>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</si>
  <si>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</si>
  <si>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</si>
  <si>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</si>
  <si>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</si>
  <si>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</si>
  <si>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</si>
  <si>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</si>
  <si>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</si>
  <si>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</si>
  <si>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</si>
  <si>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</si>
  <si>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</si>
  <si>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</si>
  <si>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</si>
  <si>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</si>
  <si>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</si>
  <si>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</si>
  <si>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</si>
  <si>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</si>
  <si>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</si>
  <si>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</si>
  <si>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</si>
  <si>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</si>
  <si>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</si>
  <si>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</si>
  <si>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</si>
  <si>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</si>
  <si>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</si>
  <si>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</si>
  <si>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</si>
  <si>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</si>
  <si>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</si>
  <si>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</si>
  <si>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</si>
  <si>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</si>
  <si>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</si>
  <si>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</si>
  <si>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</si>
  <si>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</si>
  <si>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</si>
  <si>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</si>
  <si>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</si>
  <si>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</si>
  <si>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</si>
  <si>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</si>
  <si>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</si>
  <si>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</si>
  <si>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</si>
  <si>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</si>
  <si>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</si>
  <si>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</si>
  <si>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</si>
  <si>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</si>
  <si>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</si>
  <si>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</si>
  <si>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</si>
  <si>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</si>
  <si>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</si>
  <si>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</si>
  <si>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</si>
  <si>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</si>
  <si>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</si>
  <si>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</si>
  <si>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</si>
  <si>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</si>
  <si>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</si>
  <si>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</si>
  <si>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</si>
  <si>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</si>
  <si>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</si>
  <si>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</si>
  <si>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</si>
  <si>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</si>
  <si>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</si>
  <si>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</si>
  <si>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</si>
  <si>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</si>
  <si>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</si>
  <si>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</si>
  <si>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</si>
  <si>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</si>
  <si>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</si>
  <si>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</si>
  <si>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</si>
  <si>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</si>
  <si>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</si>
  <si>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</si>
  <si>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</si>
  <si>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</si>
  <si>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</si>
  <si>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</si>
  <si>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</si>
  <si>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</si>
  <si>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</si>
  <si>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</si>
  <si>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</si>
  <si>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</si>
  <si>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</si>
  <si>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</si>
  <si>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</si>
  <si>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</si>
  <si>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</si>
  <si>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</si>
  <si>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</si>
  <si>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</si>
  <si>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</si>
  <si>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</si>
  <si>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</si>
  <si>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</si>
  <si>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</si>
  <si>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</si>
  <si>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</si>
  <si>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</si>
  <si>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</si>
  <si>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</si>
  <si>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</si>
  <si>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</si>
  <si>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</si>
  <si>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</si>
  <si>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</si>
  <si>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</si>
  <si>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</si>
  <si>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</si>
  <si>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</si>
  <si>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</si>
  <si>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</si>
  <si>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</si>
  <si>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</si>
  <si>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</si>
  <si>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</si>
  <si>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</si>
  <si>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</si>
  <si>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</si>
  <si>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</si>
  <si>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</si>
  <si>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</si>
  <si>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</si>
  <si>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</si>
  <si>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</si>
  <si>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</si>
  <si>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</si>
  <si>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</si>
  <si>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</si>
  <si>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</si>
  <si>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</si>
  <si>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</si>
  <si>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</si>
  <si>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</si>
  <si>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</si>
  <si>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</si>
  <si>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</si>
  <si>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</si>
  <si>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</si>
  <si>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</si>
  <si>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</si>
  <si>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</si>
  <si>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</si>
  <si>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</si>
  <si>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</si>
  <si>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</si>
  <si>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</si>
  <si>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</si>
  <si>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</si>
  <si>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</si>
  <si>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</si>
  <si>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</si>
  <si>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</si>
  <si>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</si>
  <si>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</si>
  <si>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</si>
  <si>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</si>
  <si>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</si>
  <si>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</si>
  <si>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</si>
  <si>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</si>
  <si>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</si>
  <si>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</si>
  <si>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</si>
  <si>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</si>
  <si>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</si>
  <si>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</si>
  <si>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</si>
  <si>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</si>
  <si>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</si>
  <si>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</si>
  <si>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</si>
  <si>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</si>
  <si>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</si>
  <si>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</si>
  <si>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</si>
  <si>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</si>
  <si>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</si>
  <si>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</si>
  <si>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</si>
  <si>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</si>
  <si>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</si>
  <si>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</si>
  <si>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</si>
  <si>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</si>
  <si>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</si>
  <si>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</si>
  <si>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</si>
  <si>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</si>
  <si>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</si>
  <si>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</si>
  <si>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</si>
  <si>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</si>
  <si>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</si>
  <si>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</si>
  <si>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</si>
  <si>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</si>
  <si>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</si>
  <si>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</si>
  <si>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</si>
  <si>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</si>
  <si>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</si>
  <si>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</si>
  <si>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</si>
  <si>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</si>
  <si>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</si>
  <si>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</si>
  <si>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</si>
  <si>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</si>
  <si>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</si>
  <si>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</si>
  <si>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</si>
  <si>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</si>
  <si>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</si>
  <si>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</si>
  <si>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</si>
  <si>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</si>
  <si>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</si>
  <si>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</si>
  <si>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</si>
  <si>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</si>
  <si>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</si>
  <si>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</si>
  <si>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</si>
  <si>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</si>
  <si>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</si>
  <si>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</si>
  <si>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</si>
  <si>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</si>
  <si>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</si>
  <si>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</si>
  <si>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</si>
  <si>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</si>
  <si>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</si>
  <si>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</si>
  <si>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</si>
  <si>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</si>
  <si>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</si>
  <si>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</si>
  <si>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</si>
  <si>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</si>
  <si>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</si>
  <si>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</si>
  <si>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</si>
  <si>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</si>
  <si>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</si>
  <si>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</si>
  <si>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</si>
  <si>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</si>
  <si>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</si>
  <si>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</si>
  <si>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</si>
  <si>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</si>
  <si>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</si>
  <si>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</si>
  <si>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</si>
  <si>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</si>
  <si>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</si>
  <si>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</si>
  <si>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</si>
  <si>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</si>
  <si>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</si>
  <si>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</si>
  <si>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</si>
  <si>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</si>
  <si>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</si>
  <si>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</si>
  <si>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</si>
  <si>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</si>
  <si>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</si>
  <si>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</si>
  <si>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</si>
  <si>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</si>
  <si>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</si>
  <si>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</si>
  <si>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</si>
  <si>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</si>
  <si>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</si>
  <si>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</si>
  <si>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</si>
  <si>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</si>
  <si>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</si>
  <si>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</si>
  <si>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</si>
  <si>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</si>
  <si>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</si>
  <si>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</si>
  <si>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</si>
  <si>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</si>
  <si>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</si>
  <si>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</si>
  <si>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</si>
  <si>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</si>
  <si>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</si>
  <si>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</si>
  <si>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</si>
  <si>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</si>
  <si>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</si>
  <si>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</si>
  <si>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</si>
  <si>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</si>
  <si>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</si>
  <si>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</si>
  <si>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</si>
  <si>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</si>
  <si>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</si>
  <si>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</si>
  <si>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</si>
  <si>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</si>
  <si>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</si>
  <si>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</si>
  <si>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</si>
  <si>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</si>
  <si>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</si>
  <si>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</si>
  <si>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</si>
  <si>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</si>
  <si>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</si>
  <si>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</si>
  <si>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</si>
  <si>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</si>
  <si>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</si>
  <si>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</si>
  <si>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</si>
  <si>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</si>
  <si>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</si>
  <si>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</si>
  <si>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</si>
  <si>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</si>
  <si>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</si>
  <si>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</si>
  <si>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</si>
  <si>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</si>
  <si>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</si>
  <si>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</si>
  <si>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</si>
  <si>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</si>
  <si>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</si>
  <si>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</si>
  <si>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</si>
  <si>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</si>
  <si>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</si>
  <si>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</si>
  <si>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</si>
  <si>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</si>
  <si>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</si>
  <si>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</si>
  <si>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</si>
  <si>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</si>
  <si>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</si>
  <si>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</si>
  <si>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</si>
  <si>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</si>
  <si>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</si>
  <si>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</si>
  <si>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</si>
  <si>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</si>
  <si>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</si>
  <si>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</si>
  <si>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</si>
  <si>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</si>
  <si>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</si>
  <si>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</si>
  <si>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</si>
  <si>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</si>
  <si>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</si>
  <si>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</si>
  <si>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</si>
  <si>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</si>
  <si>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</si>
  <si>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</si>
  <si>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</si>
  <si>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</si>
  <si>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</si>
  <si>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</si>
  <si>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</si>
  <si>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</si>
  <si>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</si>
  <si>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</si>
  <si>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</si>
  <si>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</si>
  <si>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</si>
  <si>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</si>
  <si>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</si>
  <si>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</si>
  <si>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</si>
  <si>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</si>
  <si>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</si>
  <si>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</si>
  <si>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</si>
  <si>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</si>
  <si>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</si>
  <si>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</si>
  <si>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</si>
  <si>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</si>
  <si>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</si>
  <si>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</si>
  <si>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</si>
  <si>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</si>
  <si>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</si>
  <si>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</si>
  <si>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</si>
  <si>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</si>
  <si>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</si>
  <si>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</si>
  <si>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</si>
  <si>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</si>
  <si>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</si>
  <si>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</si>
  <si>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</si>
  <si>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</si>
  <si>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</si>
  <si>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</si>
  <si>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</si>
  <si>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</si>
  <si>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</si>
  <si>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</si>
  <si>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</si>
  <si>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</si>
  <si>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</si>
  <si>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</si>
  <si>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</si>
  <si>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</si>
  <si>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</si>
  <si>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</si>
  <si>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</si>
  <si>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</si>
  <si>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</si>
  <si>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</si>
  <si>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</si>
  <si>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</si>
  <si>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</si>
  <si>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</si>
  <si>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</si>
  <si>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</si>
  <si>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</si>
  <si>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</si>
  <si>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</si>
  <si>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</si>
  <si>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</si>
  <si>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</si>
  <si>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</si>
  <si>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</si>
  <si>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</si>
  <si>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</si>
  <si>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</si>
  <si>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</si>
  <si>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</si>
  <si>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</si>
  <si>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</si>
  <si>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</si>
  <si>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</si>
  <si>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</si>
  <si>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</si>
  <si>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</si>
  <si>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</si>
  <si>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</si>
  <si>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</si>
  <si>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</si>
  <si>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</si>
  <si>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</si>
  <si>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</si>
  <si>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</si>
  <si>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</si>
  <si>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</si>
  <si>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</si>
  <si>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</si>
  <si>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</si>
  <si>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</si>
  <si>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</si>
  <si>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</si>
  <si>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</si>
  <si>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</si>
  <si>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</si>
  <si>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</si>
  <si>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</si>
  <si>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</si>
  <si>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</si>
  <si>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</si>
  <si>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</si>
  <si>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</si>
  <si>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</si>
  <si>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</si>
  <si>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</si>
  <si>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</si>
  <si>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</si>
  <si>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</si>
  <si>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</si>
  <si>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</si>
  <si>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</si>
  <si>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</si>
  <si>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</si>
  <si>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</si>
  <si>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</si>
  <si>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</si>
  <si>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</si>
  <si>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</si>
  <si>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</si>
  <si>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</si>
  <si>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</si>
  <si>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</si>
  <si>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</si>
  <si>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</si>
  <si>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</si>
  <si>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</si>
  <si>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</si>
  <si>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</si>
  <si>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</si>
  <si>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</si>
  <si>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</si>
  <si>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</si>
  <si>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</si>
  <si>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</si>
  <si>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</si>
  <si>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</si>
  <si>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</si>
  <si>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</si>
  <si>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</si>
  <si>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</si>
  <si>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</si>
  <si>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</si>
  <si>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</si>
  <si>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</si>
  <si>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</si>
  <si>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</si>
  <si>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</si>
  <si>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</si>
  <si>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</si>
  <si>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</si>
  <si>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</si>
  <si>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</si>
  <si>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</si>
  <si>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</si>
  <si>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</si>
  <si>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</si>
  <si>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</si>
  <si>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</si>
  <si>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</si>
  <si>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</si>
  <si>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</si>
  <si>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</si>
  <si>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</si>
  <si>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</si>
  <si>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</si>
  <si>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</si>
  <si>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</si>
  <si>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</si>
  <si>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</si>
  <si>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</si>
  <si>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</si>
  <si>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</si>
  <si>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</si>
  <si>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</si>
  <si>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</si>
  <si>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</si>
  <si>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</si>
  <si>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</si>
  <si>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</si>
  <si>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</si>
  <si>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</si>
  <si>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</si>
  <si>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</si>
  <si>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</si>
  <si>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</si>
  <si>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</si>
  <si>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</si>
  <si>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</si>
  <si>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</si>
  <si>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</si>
  <si>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</si>
  <si>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</si>
  <si>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</si>
  <si>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</si>
  <si>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</si>
  <si>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</si>
  <si>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</si>
  <si>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</si>
  <si>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</si>
  <si>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</si>
  <si>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</si>
  <si>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</si>
  <si>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</si>
  <si>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</si>
  <si>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</si>
  <si>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</si>
  <si>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</si>
  <si>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</si>
  <si>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</si>
  <si>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</si>
  <si>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</si>
  <si>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</si>
  <si>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</si>
  <si>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</si>
  <si>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</si>
  <si>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</si>
  <si>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</si>
  <si>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</si>
  <si>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</si>
  <si>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</si>
  <si>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</si>
  <si>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</si>
  <si>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</si>
  <si>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</si>
  <si>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</si>
  <si>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</si>
  <si>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</si>
  <si>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</si>
  <si>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</si>
  <si>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</si>
  <si>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</si>
  <si>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</si>
  <si>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</si>
  <si>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</si>
  <si>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</si>
  <si>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</si>
  <si>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</si>
  <si>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</si>
  <si>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</si>
  <si>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</si>
  <si>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</si>
  <si>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</si>
  <si>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</si>
  <si>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</si>
  <si>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</si>
  <si>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</si>
  <si>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</si>
  <si>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</si>
  <si>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</si>
  <si>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</si>
  <si>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</si>
  <si>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</si>
  <si>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</si>
  <si>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</si>
  <si>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</si>
  <si>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</si>
  <si>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</si>
  <si>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</si>
  <si>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</si>
  <si>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</si>
  <si>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</si>
  <si>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</si>
  <si>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</si>
  <si>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</si>
  <si>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</si>
  <si>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</si>
  <si>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</si>
  <si>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</si>
  <si>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</si>
  <si>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</si>
  <si>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</si>
  <si>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</si>
  <si>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</si>
  <si>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</si>
  <si>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</si>
  <si>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</si>
  <si>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</si>
  <si>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</si>
  <si>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</si>
  <si>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</si>
  <si>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</si>
  <si>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</si>
  <si>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</si>
  <si>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</si>
  <si>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</si>
  <si>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</si>
  <si>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</si>
  <si>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</si>
  <si>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</si>
  <si>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</si>
  <si>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</si>
  <si>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</si>
  <si>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</si>
  <si>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</si>
  <si>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</si>
  <si>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</si>
  <si>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</si>
  <si>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</si>
  <si>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</si>
  <si>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</si>
  <si>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</si>
  <si>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</si>
  <si>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</si>
  <si>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</si>
  <si>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</si>
  <si>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</si>
  <si>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</si>
  <si>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</si>
  <si>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</si>
  <si>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</si>
  <si>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</si>
  <si>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</si>
  <si>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</si>
  <si>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</si>
  <si>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</si>
  <si>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</si>
  <si>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</si>
  <si>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</si>
  <si>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</si>
  <si>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</si>
  <si>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</si>
  <si>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</si>
  <si>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</si>
  <si>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</si>
  <si>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</si>
  <si>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</si>
  <si>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</si>
  <si>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</si>
  <si>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</si>
  <si>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</si>
  <si>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</si>
  <si>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</si>
  <si>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</si>
  <si>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</si>
  <si>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</si>
  <si>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</si>
  <si>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</si>
  <si>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</si>
  <si>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</si>
  <si>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</si>
  <si>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</si>
  <si>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</si>
  <si>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</si>
  <si>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</si>
  <si>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</si>
  <si>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</si>
  <si>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</si>
  <si>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</si>
  <si>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</si>
  <si>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</si>
  <si>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</si>
  <si>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</si>
  <si>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</si>
  <si>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</si>
  <si>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</si>
  <si>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</si>
  <si>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</si>
  <si>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</si>
  <si>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</si>
  <si>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</si>
  <si>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</si>
  <si>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</si>
  <si>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</si>
  <si>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</si>
  <si>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</si>
  <si>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</si>
  <si>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</si>
  <si>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</si>
  <si>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</si>
  <si>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</si>
  <si>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</si>
  <si>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</si>
  <si>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</si>
  <si>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</si>
  <si>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</si>
  <si>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</si>
  <si>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</si>
  <si>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</si>
  <si>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</si>
  <si>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</si>
  <si>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</si>
  <si>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</si>
  <si>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</si>
  <si>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</si>
  <si>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</si>
  <si>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</si>
  <si>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</si>
  <si>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</si>
  <si>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</si>
  <si>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</si>
  <si>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</si>
  <si>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</si>
  <si>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</si>
  <si>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</si>
  <si>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</si>
  <si>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</si>
  <si>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</si>
  <si>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</si>
  <si>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</si>
  <si>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</si>
  <si>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</si>
  <si>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</si>
  <si>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</si>
  <si>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</si>
  <si>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</si>
  <si>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</si>
  <si>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</si>
  <si>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</si>
  <si>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</si>
  <si>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</si>
  <si>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</si>
  <si>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</si>
  <si>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</si>
  <si>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</si>
  <si>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</si>
  <si>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</si>
  <si>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</si>
  <si>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</si>
  <si>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</si>
  <si>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</si>
  <si>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</si>
  <si>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</si>
  <si>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</si>
  <si>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</si>
  <si>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</si>
  <si>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</si>
  <si>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</si>
  <si>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</si>
  <si>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</si>
  <si>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</si>
  <si>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</si>
  <si>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</si>
  <si>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</si>
  <si>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</si>
  <si>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</si>
  <si>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</si>
  <si>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</si>
  <si>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</si>
  <si>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</si>
  <si>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</si>
  <si>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</si>
  <si>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</si>
  <si>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</si>
  <si>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</si>
  <si>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</si>
  <si>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</si>
  <si>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</si>
  <si>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</si>
  <si>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</si>
  <si>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</si>
  <si>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</si>
  <si>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</si>
  <si>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</si>
  <si>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</si>
  <si>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</si>
  <si>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</si>
  <si>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</si>
  <si>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</si>
  <si>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</si>
  <si>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</si>
  <si>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</si>
  <si>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</si>
  <si>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</si>
  <si>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</si>
  <si>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</si>
  <si>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</si>
  <si>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</si>
  <si>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</si>
  <si>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</si>
  <si>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</si>
  <si>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</si>
  <si>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</si>
  <si>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</si>
  <si>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</si>
  <si>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</si>
  <si>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</si>
  <si>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</si>
  <si>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</si>
  <si>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</si>
  <si>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</si>
  <si>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</si>
  <si>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</si>
  <si>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</si>
  <si>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</si>
  <si>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</si>
  <si>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</si>
  <si>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</si>
  <si>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</si>
  <si>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</si>
  <si>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</si>
  <si>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</si>
  <si>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</si>
  <si>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</si>
  <si>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</si>
  <si>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</si>
  <si>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</si>
  <si>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</si>
  <si>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</si>
  <si>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</si>
  <si>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</si>
  <si>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</si>
  <si>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</si>
  <si>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</si>
  <si>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</si>
  <si>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</si>
  <si>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</si>
  <si>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</si>
  <si>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</si>
  <si>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</si>
  <si>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</si>
  <si>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</si>
  <si>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</si>
  <si>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</si>
  <si>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</si>
  <si>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</si>
  <si>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</si>
  <si>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</si>
  <si>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</si>
  <si>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</si>
  <si>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</si>
  <si>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</si>
  <si>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</si>
  <si>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</si>
  <si>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</si>
  <si>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</si>
  <si>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</si>
  <si>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</si>
  <si>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</si>
  <si>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</si>
  <si>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</si>
  <si>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</si>
  <si>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</si>
  <si>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</si>
  <si>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</si>
  <si>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</si>
  <si>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</si>
  <si>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</si>
  <si>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</si>
  <si>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</si>
  <si>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</si>
  <si>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</si>
  <si>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</si>
  <si>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</si>
  <si>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</si>
  <si>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</si>
  <si>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</si>
  <si>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</si>
  <si>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</si>
  <si>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</si>
  <si>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</si>
  <si>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</si>
  <si>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</si>
  <si>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</si>
  <si>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</si>
  <si>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</si>
  <si>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</si>
  <si>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</si>
  <si>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</si>
  <si>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</si>
  <si>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</si>
  <si>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</si>
  <si>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</si>
  <si>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</si>
  <si>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</si>
  <si>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</si>
  <si>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</si>
  <si>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</si>
  <si>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</si>
  <si>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</si>
  <si>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</si>
  <si>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</si>
  <si>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</si>
  <si>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</si>
  <si>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</si>
  <si>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</si>
  <si>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</si>
  <si>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</si>
  <si>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</si>
  <si>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</si>
  <si>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</si>
  <si>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</si>
  <si>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</si>
  <si>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</si>
  <si>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</si>
  <si>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</si>
  <si>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</si>
  <si>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</si>
  <si>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</si>
  <si>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</si>
  <si>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</si>
  <si>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</si>
  <si>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</si>
  <si>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</si>
  <si>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</si>
  <si>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</si>
  <si>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</si>
  <si>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</si>
  <si>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</si>
  <si>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</si>
  <si>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</si>
  <si>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</si>
  <si>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</si>
  <si>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</si>
  <si>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</si>
  <si>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</si>
  <si>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</si>
  <si>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</si>
  <si>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</si>
  <si>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</si>
  <si>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</si>
  <si>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</si>
  <si>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</si>
  <si>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</si>
  <si>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</si>
  <si>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</si>
  <si>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</si>
  <si>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</si>
  <si>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</si>
  <si>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</si>
  <si>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</si>
  <si>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</si>
  <si>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</si>
  <si>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</si>
  <si>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</si>
  <si>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</si>
  <si>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</si>
  <si>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</si>
  <si>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</si>
  <si>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</si>
  <si>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</si>
  <si>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</si>
  <si>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</si>
  <si>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</si>
  <si>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</si>
  <si>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</si>
  <si>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</si>
  <si>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</si>
  <si>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</si>
  <si>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</si>
  <si>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</si>
  <si>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</si>
  <si>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</si>
  <si>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</si>
  <si>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</si>
  <si>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</si>
  <si>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</si>
  <si>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</si>
  <si>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</si>
  <si>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</si>
  <si>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</si>
  <si>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</si>
  <si>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</si>
  <si>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</si>
  <si>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</si>
  <si>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</si>
  <si>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</si>
  <si>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</si>
  <si>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</si>
  <si>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</si>
  <si>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</si>
  <si>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</si>
  <si>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</si>
  <si>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</si>
  <si>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</si>
  <si>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</si>
  <si>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</si>
  <si>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</si>
  <si>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</si>
  <si>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</si>
  <si>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</si>
  <si>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</si>
  <si>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</si>
  <si>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</si>
  <si>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</si>
  <si>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</si>
  <si>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</si>
  <si>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</si>
  <si>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</si>
  <si>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</si>
  <si>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</si>
  <si>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</si>
  <si>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</si>
  <si>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</si>
  <si>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</si>
  <si>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</si>
  <si>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</si>
  <si>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</si>
  <si>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</si>
  <si>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</si>
  <si>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</si>
  <si>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</si>
  <si>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</si>
  <si>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</si>
  <si>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</si>
  <si>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</si>
  <si>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</si>
  <si>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</si>
  <si>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</si>
  <si>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</si>
  <si>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</si>
  <si>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</si>
  <si>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</si>
  <si>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</si>
  <si>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</si>
  <si>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</si>
  <si>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</si>
  <si>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</si>
  <si>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</si>
  <si>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</si>
  <si>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</si>
  <si>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</si>
  <si>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</si>
  <si>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</si>
  <si>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</si>
  <si>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</si>
  <si>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</si>
  <si>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</si>
  <si>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</si>
  <si>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</si>
  <si>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</si>
  <si>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</si>
  <si>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</si>
  <si>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</si>
  <si>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</si>
  <si>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</si>
  <si>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</si>
  <si>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</si>
  <si>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</si>
  <si>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</si>
  <si>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</si>
  <si>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</si>
  <si>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</si>
  <si>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</si>
  <si>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</si>
  <si>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</si>
  <si>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</si>
  <si>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</si>
  <si>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</si>
  <si>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</si>
  <si>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</si>
  <si>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</si>
  <si>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</si>
  <si>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</si>
  <si>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</si>
  <si>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</si>
  <si>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</si>
  <si>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</si>
  <si>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</si>
  <si>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</si>
  <si>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</si>
  <si>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</si>
  <si>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</si>
  <si>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</si>
  <si>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</si>
  <si>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</si>
  <si>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</si>
  <si>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</si>
  <si>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</si>
  <si>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</si>
  <si>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</si>
  <si>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</si>
  <si>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</si>
  <si>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</si>
  <si>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</si>
  <si>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</si>
  <si>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</si>
  <si>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</si>
  <si>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</si>
  <si>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</si>
  <si>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</si>
  <si>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</si>
  <si>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</si>
  <si>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</si>
  <si>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</si>
  <si>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</si>
  <si>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</si>
  <si>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</si>
  <si>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</si>
  <si>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</si>
  <si>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</si>
  <si>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</si>
  <si>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</si>
  <si>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</si>
  <si>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</si>
  <si>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</si>
  <si>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</si>
  <si>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</si>
  <si>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</si>
  <si>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</si>
  <si>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</si>
  <si>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</si>
  <si>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</si>
  <si>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</si>
  <si>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</si>
  <si>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</si>
  <si>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</si>
  <si>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</si>
  <si>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</si>
  <si>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</si>
  <si>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</si>
  <si>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</si>
  <si>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</si>
  <si>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</si>
  <si>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</si>
  <si>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</si>
  <si>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</si>
  <si>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</si>
  <si>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</si>
  <si>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</si>
  <si>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</si>
  <si>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</si>
  <si>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</si>
  <si>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</si>
  <si>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</si>
  <si>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</si>
  <si>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</si>
  <si>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</si>
  <si>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</si>
  <si>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</si>
  <si>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</si>
  <si>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</si>
  <si>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</si>
  <si>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</si>
  <si>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</si>
  <si>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</si>
  <si>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</si>
  <si>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</si>
  <si>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</si>
  <si>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</si>
  <si>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</si>
  <si>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</si>
  <si>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</si>
  <si>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</si>
  <si>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</si>
  <si>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</si>
  <si>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</si>
  <si>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</si>
  <si>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</si>
  <si>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</si>
  <si>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</si>
  <si>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</si>
  <si>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</si>
  <si>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</si>
  <si>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</si>
  <si>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</si>
  <si>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</si>
  <si>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</si>
  <si>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</si>
  <si>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</si>
  <si>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</si>
  <si>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</si>
  <si>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</si>
  <si>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</si>
  <si>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</si>
  <si>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</si>
  <si>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</si>
  <si>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</si>
  <si>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</si>
  <si>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</si>
  <si>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</si>
  <si>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</si>
  <si>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</si>
  <si>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</si>
  <si>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</si>
  <si>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</si>
  <si>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</si>
  <si>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</si>
  <si>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</si>
  <si>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</si>
  <si>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</si>
  <si>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</si>
  <si>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</si>
  <si>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</si>
  <si>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</si>
  <si>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</si>
  <si>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</si>
  <si>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</si>
  <si>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</si>
  <si>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</si>
  <si>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</si>
  <si>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</si>
  <si>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</si>
  <si>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</si>
  <si>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</si>
  <si>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</si>
  <si>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</si>
  <si>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</si>
  <si>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</si>
  <si>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</si>
  <si>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</si>
  <si>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</si>
  <si>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</si>
  <si>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</si>
  <si>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</si>
  <si>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</si>
  <si>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</si>
  <si>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</si>
  <si>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</si>
  <si>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</si>
  <si>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</si>
  <si>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</si>
  <si>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</si>
  <si>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</si>
  <si>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</si>
  <si>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</si>
  <si>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</si>
  <si>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</si>
  <si>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</si>
  <si>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</si>
  <si>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</si>
  <si>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</si>
  <si>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</si>
  <si>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</si>
  <si>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</si>
  <si>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</si>
  <si>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</si>
  <si>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</si>
  <si>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</si>
  <si>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</si>
  <si>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</si>
  <si>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</si>
  <si>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</si>
  <si>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</si>
  <si>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</si>
  <si>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</si>
  <si>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</si>
  <si>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</si>
  <si>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</si>
  <si>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</si>
  <si>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</si>
  <si>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</si>
  <si>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</si>
  <si>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</si>
  <si>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</si>
  <si>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</si>
  <si>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</si>
  <si>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</si>
  <si>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</si>
  <si>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</si>
  <si>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</si>
  <si>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</si>
  <si>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</si>
  <si>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</si>
  <si>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</si>
  <si>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</si>
  <si>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</si>
  <si>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</si>
  <si>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</si>
  <si>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</si>
  <si>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</si>
  <si>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</si>
  <si>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</si>
  <si>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</si>
  <si>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</si>
  <si>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</si>
  <si>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</si>
  <si>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</si>
  <si>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</si>
  <si>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</si>
  <si>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</si>
  <si>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</si>
  <si>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</si>
  <si>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</si>
  <si>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</si>
  <si>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</si>
  <si>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</si>
  <si>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</si>
  <si>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</si>
  <si>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</si>
  <si>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</si>
  <si>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</si>
  <si>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</si>
  <si>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</si>
  <si>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</si>
  <si>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</si>
  <si>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</si>
  <si>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</si>
  <si>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</si>
  <si>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</si>
  <si>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</si>
  <si>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</si>
  <si>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</si>
  <si>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</si>
  <si>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</si>
  <si>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</si>
  <si>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</si>
  <si>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</si>
  <si>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</si>
  <si>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</si>
  <si>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</si>
  <si>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</si>
  <si>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</si>
  <si>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</si>
  <si>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</si>
  <si>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</si>
  <si>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</si>
  <si>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</si>
  <si>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</si>
  <si>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</si>
  <si>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</si>
  <si>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</si>
  <si>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</si>
  <si>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</si>
  <si>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</si>
  <si>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</si>
  <si>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</si>
  <si>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</si>
  <si>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</si>
  <si>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</si>
  <si>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</si>
  <si>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</si>
  <si>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</si>
  <si>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</si>
  <si>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</si>
  <si>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</si>
  <si>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</si>
  <si>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</si>
  <si>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</si>
  <si>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</si>
  <si>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</si>
  <si>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</si>
  <si>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</si>
  <si>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</si>
  <si>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</si>
  <si>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</si>
  <si>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</si>
  <si>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</si>
  <si>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</si>
  <si>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</si>
  <si>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</si>
  <si>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</si>
  <si>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</si>
  <si>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</si>
  <si>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</si>
  <si>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</si>
  <si>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</si>
  <si>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</si>
  <si>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</si>
  <si>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</si>
  <si>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</si>
  <si>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</si>
  <si>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</si>
  <si>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</si>
  <si>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</si>
  <si>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</si>
  <si>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</si>
  <si>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</si>
  <si>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</si>
  <si>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</si>
  <si>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</si>
  <si>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</si>
  <si>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</si>
  <si>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</si>
  <si>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</si>
  <si>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</si>
  <si>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</si>
  <si>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</si>
  <si>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</si>
  <si>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</si>
  <si>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</si>
  <si>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</si>
  <si>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</si>
  <si>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</si>
  <si>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</si>
  <si>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</si>
  <si>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</si>
  <si>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</si>
  <si>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</si>
  <si>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</si>
  <si>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</si>
  <si>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</si>
  <si>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</si>
  <si>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</si>
  <si>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</si>
  <si>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</si>
  <si>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</si>
  <si>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</si>
  <si>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</si>
  <si>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</si>
  <si>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</si>
  <si>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</si>
  <si>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</si>
  <si>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</si>
  <si>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</si>
  <si>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</si>
  <si>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</si>
  <si>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</si>
  <si>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</si>
  <si>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</si>
  <si>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</si>
  <si>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</si>
  <si>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</si>
  <si>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</si>
  <si>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</si>
  <si>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</si>
  <si>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</si>
  <si>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</si>
  <si>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</si>
  <si>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</si>
  <si>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</si>
  <si>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</si>
  <si>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</si>
  <si>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</si>
  <si>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</si>
  <si>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</si>
  <si>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</si>
  <si>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</si>
  <si>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</si>
  <si>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</si>
  <si>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</si>
  <si>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</si>
  <si>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</si>
  <si>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</si>
  <si>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</si>
  <si>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</si>
  <si>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</si>
  <si>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</si>
  <si>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</si>
  <si>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</si>
  <si>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</si>
  <si>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</si>
  <si>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</si>
  <si>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</si>
  <si>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</si>
  <si>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</si>
  <si>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</si>
  <si>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</si>
  <si>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</si>
  <si>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</si>
  <si>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</si>
  <si>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</si>
  <si>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</si>
  <si>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</si>
  <si>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</si>
  <si>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</si>
  <si>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</si>
  <si>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</si>
  <si>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</si>
  <si>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</si>
  <si>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</si>
  <si>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</si>
  <si>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</si>
  <si>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</si>
  <si>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</si>
  <si>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</si>
  <si>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</si>
  <si>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</si>
  <si>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</si>
  <si>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</si>
  <si>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</si>
  <si>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</si>
  <si>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</si>
  <si>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</si>
  <si>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</si>
  <si>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</si>
  <si>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</si>
  <si>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</si>
  <si>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</si>
  <si>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</si>
  <si>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</si>
  <si>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</si>
  <si>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</si>
  <si>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</si>
  <si>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</si>
  <si>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</si>
  <si>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</si>
  <si>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</si>
  <si>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</si>
  <si>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</si>
  <si>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</si>
  <si>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</si>
  <si>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</si>
  <si>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</si>
  <si>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</si>
  <si>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</si>
  <si>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</si>
  <si>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</si>
  <si>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</si>
  <si>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</si>
  <si>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</si>
  <si>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</si>
  <si>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</si>
  <si>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</si>
  <si>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</si>
  <si>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</si>
  <si>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</si>
  <si>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</si>
  <si>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</si>
  <si>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</si>
  <si>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</si>
  <si>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</si>
  <si>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</si>
  <si>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</si>
  <si>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</si>
  <si>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</si>
  <si>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</si>
  <si>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</si>
  <si>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</si>
  <si>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</si>
  <si>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</si>
  <si>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</si>
  <si>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</si>
  <si>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</si>
  <si>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</si>
  <si>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</si>
  <si>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</si>
  <si>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</si>
  <si>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</si>
  <si>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</si>
  <si>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</si>
  <si>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</si>
  <si>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</si>
  <si>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</si>
  <si>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</si>
  <si>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</si>
  <si>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</si>
  <si>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</si>
  <si>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</si>
  <si>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</si>
  <si>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</si>
  <si>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</si>
  <si>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</si>
  <si>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</si>
  <si>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</si>
  <si>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</si>
  <si>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</si>
  <si>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</si>
  <si>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</si>
  <si>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</si>
  <si>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</si>
  <si>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</si>
  <si>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</si>
  <si>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</si>
  <si>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</si>
  <si>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</si>
  <si>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</si>
  <si>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</si>
  <si>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</si>
  <si>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</si>
  <si>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</si>
  <si>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</si>
  <si>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</si>
  <si>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</si>
  <si>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</si>
  <si>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</si>
  <si>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</si>
  <si>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</si>
  <si>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</si>
  <si>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</si>
  <si>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</si>
  <si>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</si>
  <si>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</si>
  <si>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</si>
  <si>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</si>
  <si>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</si>
  <si>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</si>
  <si>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</si>
  <si>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</si>
  <si>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</si>
  <si>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</si>
  <si>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</si>
  <si>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</si>
  <si>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</si>
  <si>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</si>
  <si>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</si>
  <si>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</si>
  <si>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</si>
  <si>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</si>
  <si>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</si>
  <si>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</si>
  <si>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</si>
  <si>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</si>
  <si>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</si>
  <si>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</si>
  <si>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</si>
  <si>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</si>
  <si>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</si>
  <si>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</si>
  <si>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</si>
  <si>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</si>
  <si>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</si>
  <si>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</si>
  <si>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</si>
  <si>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</si>
  <si>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</si>
  <si>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</si>
  <si>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</si>
  <si>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</si>
  <si>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</si>
  <si>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</si>
  <si>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</si>
  <si>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</si>
  <si>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</si>
  <si>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</si>
  <si>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</si>
  <si>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</si>
  <si>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</si>
  <si>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</si>
  <si>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</si>
  <si>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</si>
  <si>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</si>
  <si>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</si>
  <si>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</si>
  <si>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</si>
  <si>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</si>
  <si>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</si>
  <si>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</si>
  <si>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</si>
  <si>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</si>
  <si>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</si>
  <si>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</si>
  <si>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</si>
  <si>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</si>
  <si>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</si>
  <si>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</si>
  <si>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</si>
  <si>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</si>
  <si>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</si>
  <si>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</si>
  <si>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</si>
  <si>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</si>
  <si>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</si>
  <si>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</si>
  <si>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</si>
  <si>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</si>
  <si>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</si>
  <si>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</si>
  <si>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</si>
  <si>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</si>
  <si>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</si>
  <si>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</si>
  <si>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</si>
  <si>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</si>
  <si>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</si>
  <si>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</si>
  <si>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</si>
  <si>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</si>
  <si>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</si>
  <si>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</si>
  <si>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</si>
  <si>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</si>
  <si>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</si>
  <si>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</si>
  <si>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</si>
  <si>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</si>
  <si>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</si>
  <si>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</si>
  <si>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</si>
  <si>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</si>
  <si>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</si>
  <si>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</si>
  <si>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</si>
  <si>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</si>
  <si>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</si>
  <si>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</si>
  <si>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</si>
  <si>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</si>
  <si>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</si>
  <si>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</si>
  <si>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</si>
  <si>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</si>
  <si>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</si>
  <si>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</si>
  <si>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</si>
  <si>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</si>
  <si>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</si>
  <si>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</si>
  <si>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</si>
  <si>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</si>
  <si>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</si>
  <si>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</si>
  <si>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</si>
  <si>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</si>
  <si>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</si>
  <si>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</si>
  <si>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</si>
  <si>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</si>
  <si>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</si>
  <si>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</si>
  <si>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</si>
  <si>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</si>
  <si>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</si>
  <si>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</si>
  <si>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</si>
  <si>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</si>
  <si>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</si>
  <si>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</si>
  <si>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</si>
  <si>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</si>
  <si>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</si>
  <si>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</si>
  <si>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</si>
  <si>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</si>
  <si>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</si>
  <si>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</si>
  <si>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</si>
  <si>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</si>
  <si>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</si>
  <si>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</si>
  <si>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</si>
  <si>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</si>
  <si>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</si>
  <si>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</si>
  <si>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</si>
  <si>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</si>
  <si>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</si>
  <si>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</si>
  <si>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</si>
  <si>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</si>
  <si>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</si>
  <si>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</si>
  <si>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</si>
  <si>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</si>
  <si>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</si>
  <si>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</si>
  <si>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</si>
  <si>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</si>
  <si>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</si>
  <si>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</si>
  <si>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</si>
  <si>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</si>
  <si>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</si>
  <si>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</si>
  <si>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</si>
  <si>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</si>
  <si>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</si>
  <si>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</si>
  <si>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</si>
  <si>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</si>
  <si>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</si>
  <si>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</si>
  <si>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</si>
  <si>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</si>
  <si>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</si>
  <si>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</si>
  <si>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</si>
  <si>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</si>
  <si>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</si>
  <si>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</si>
  <si>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</si>
  <si>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</si>
  <si>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</si>
  <si>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</si>
  <si>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</si>
  <si>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</si>
  <si>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</si>
  <si>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</si>
  <si>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</si>
  <si>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</si>
  <si>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</si>
  <si>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</si>
  <si>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</si>
  <si>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</si>
  <si>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</si>
  <si>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</si>
  <si>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</si>
  <si>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</si>
  <si>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</si>
  <si>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</si>
  <si>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</si>
  <si>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</si>
  <si>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</si>
  <si>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</si>
  <si>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</si>
  <si>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</si>
  <si>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</si>
  <si>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</si>
  <si>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</si>
  <si>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</si>
  <si>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</si>
  <si>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</si>
  <si>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</si>
  <si>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</si>
  <si>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</si>
  <si>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</si>
  <si>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</si>
  <si>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</si>
  <si>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</si>
  <si>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</si>
  <si>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</si>
  <si>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</si>
  <si>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</si>
  <si>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</si>
  <si>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</si>
  <si>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</si>
  <si>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</si>
  <si>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</si>
  <si>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</si>
  <si>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</si>
  <si>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</si>
  <si>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</si>
  <si>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</si>
  <si>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</si>
  <si>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</si>
  <si>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</si>
  <si>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</si>
  <si>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</si>
  <si>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</si>
  <si>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</si>
  <si>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</si>
  <si>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</si>
  <si>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</si>
  <si>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</si>
  <si>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</si>
  <si>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</si>
  <si>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</si>
  <si>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</si>
  <si>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</si>
  <si>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</si>
  <si>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</si>
  <si>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</si>
  <si>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</si>
  <si>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</si>
  <si>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</si>
  <si>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</si>
  <si>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</si>
  <si>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</si>
  <si>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</si>
  <si>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</si>
  <si>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</si>
  <si>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</si>
  <si>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</si>
  <si>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</si>
  <si>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</si>
  <si>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</si>
  <si>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</si>
  <si>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</si>
  <si>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</si>
  <si>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</si>
  <si>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</si>
  <si>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</si>
  <si>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</si>
  <si>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TAVIGNANO</t>
  </si>
  <si>
    <t xml:space="preserve">Aleria</t>
  </si>
  <si>
    <t xml:space="preserve">06215600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</si>
  <si>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</si>
  <si>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</si>
  <si>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</si>
  <si>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</si>
  <si>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</si>
  <si>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</si>
  <si>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</si>
  <si>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</si>
  <si>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</si>
  <si>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</si>
  <si>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</si>
  <si>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fort</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</si>
  <si>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</si>
  <si>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</si>
  <si>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</si>
  <si>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</si>
  <si>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</si>
  <si>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</si>
  <si>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</si>
  <si>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</si>
  <si>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</si>
  <si>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</si>
  <si>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</si>
  <si>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</si>
  <si>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</si>
  <si>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</si>
  <si>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</si>
  <si>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</si>
  <si>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</si>
  <si>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</si>
  <si>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</si>
  <si>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</si>
  <si>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</si>
  <si>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</si>
  <si>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</si>
  <si>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</si>
  <si>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</si>
  <si>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</si>
  <si>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</si>
  <si>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</si>
  <si>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</si>
  <si>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</si>
  <si>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</si>
  <si>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</si>
  <si>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</si>
  <si>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</si>
  <si>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</si>
  <si>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</si>
  <si>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</si>
  <si>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(2,15025 %)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</si>
  <si>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</si>
  <si>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</si>
  <si>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</si>
  <si>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</si>
  <si>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</si>
  <si>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</si>
  <si>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</si>
  <si>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</si>
  <si>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</si>
  <si>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</si>
  <si>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</si>
  <si>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</si>
  <si>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</si>
  <si>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</si>
  <si>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</si>
  <si>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</si>
  <si>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</si>
  <si>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</si>
  <si>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</si>
  <si>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</si>
  <si>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</si>
  <si>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</si>
  <si>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</si>
  <si>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</si>
  <si>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</si>
  <si>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</si>
  <si>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</si>
  <si>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</si>
  <si>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</si>
  <si>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</si>
  <si>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</si>
  <si>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</si>
  <si>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</si>
  <si>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</si>
  <si>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</si>
  <si>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</si>
  <si>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</si>
  <si>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</si>
  <si>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</si>
  <si>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</si>
  <si>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</si>
  <si>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</si>
  <si>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</si>
  <si>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</si>
  <si>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</si>
  <si>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</si>
  <si>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</si>
  <si>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</si>
  <si>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</si>
  <si>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</si>
  <si>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</si>
  <si>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</si>
  <si>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</si>
  <si>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Alisma wahlenbergii        </t>
  </si>
  <si>
    <t xml:space="preserve">pl. lent</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</si>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</sst>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41073</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8.41176470588235</v>
      </c>
      <c r="M5" s="293"/>
      <c r="N5" s="294"/>
      <c r="O5" s="295" t="n">
        <v>7.21428571428571</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13</v>
      </c>
      <c r="C7" s="307" t="n">
        <v>87</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6.18181818181818</v>
      </c>
      <c r="O8" s="323" t="n">
        <f aca="false">AVERAGE(J23:J82)</f>
        <v>1.18181818181818</v>
      </c>
      <c r="P8" s="324"/>
      <c r="Q8" s="250"/>
      <c r="R8" s="250"/>
      <c r="S8" s="250"/>
      <c r="T8" s="250"/>
      <c r="U8" s="250"/>
      <c r="V8" s="250"/>
      <c r="W8" s="262"/>
      <c r="X8" s="263"/>
    </row>
    <row r="9" customFormat="false" ht="13.5" hidden="false" customHeight="false" outlineLevel="0" collapsed="false">
      <c r="A9" s="283" t="s">
        <v>2636</v>
      </c>
      <c r="B9" s="325" t="n">
        <v>5.1</v>
      </c>
      <c r="C9" s="326" t="n">
        <v>1.7</v>
      </c>
      <c r="D9" s="327"/>
      <c r="E9" s="327"/>
      <c r="F9" s="328" t="n">
        <f aca="false">($B9*$B$7+$C9*$C$7)/100</f>
        <v>2.142</v>
      </c>
      <c r="G9" s="329"/>
      <c r="H9" s="330"/>
      <c r="I9" s="331"/>
      <c r="J9" s="332"/>
      <c r="K9" s="313"/>
      <c r="L9" s="333"/>
      <c r="M9" s="322" t="s">
        <v>2637</v>
      </c>
      <c r="N9" s="323" t="n">
        <f aca="false">STDEV(I23:I82)</f>
        <v>5.74139672585307</v>
      </c>
      <c r="O9" s="323" t="n">
        <f aca="false">STDEV(J23:J82)</f>
        <v>1.16774841624228</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14</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4</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1</v>
      </c>
      <c r="L13" s="355"/>
      <c r="M13" s="366" t="s">
        <v>2648</v>
      </c>
      <c r="N13" s="367" t="n">
        <f aca="false">COUNTIF(F23:F82,"&gt;0")</f>
        <v>12</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11</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5</v>
      </c>
      <c r="L15" s="355"/>
      <c r="M15" s="376" t="s">
        <v>2654</v>
      </c>
      <c r="N15" s="377" t="n">
        <f aca="false">COUNTIF(J23:J82,"=1")</f>
        <v>3</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2</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5.13</v>
      </c>
      <c r="C20" s="405" t="n">
        <f aca="false">SUM(C23:C82)</f>
        <v>1.705</v>
      </c>
      <c r="D20" s="406"/>
      <c r="E20" s="407" t="s">
        <v>2660</v>
      </c>
      <c r="F20" s="408" t="n">
        <f aca="false">($B20*$B$7+$C20*$C$7)/100</f>
        <v>2.15025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0.6669</v>
      </c>
      <c r="C21" s="418" t="n">
        <f aca="false">C20*C7/100</f>
        <v>1.48335</v>
      </c>
      <c r="D21" s="350" t="str">
        <f aca="false">IF(F21=0,"",IF((ABS(F21-F19))&gt;(0.2*F21),CONCATENATE(" rec. par taxa (",F21," %) supérieur à 20 % !"),""))</f>
        <v> rec. par taxa (2,15025 %) supérieur à 20 % !</v>
      </c>
      <c r="E21" s="419" t="str">
        <f aca="false">IF(F21=0,"",IF((ABS(F21-F19))&gt;(0.2*F21),CONCATENATE("ATTENTION : écart entre rec. par grp (",F19," %) ","et",""),""))</f>
        <v>ATTENTION : écart entre rec. par grp (0 %) et</v>
      </c>
      <c r="F21" s="420" t="n">
        <f aca="false">B21+C21</f>
        <v>2.15025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523</v>
      </c>
      <c r="B23" s="444"/>
      <c r="C23" s="445" t="n">
        <v>0.005</v>
      </c>
      <c r="D23" s="446" t="str">
        <f aca="false">IF(ISERROR(VLOOKUP($A23,'liste reference'!$A$7:$D$892,2,0)),IF(ISERROR(VLOOKUP($A23,'liste reference'!$B$7:$D$892,1,0)),"",VLOOKUP($A23,'liste reference'!$B$7:$D$892,1,0)),VLOOKUP($A23,'liste reference'!$A$7:$D$892,2,0))</f>
        <v>Chara vulgaris</v>
      </c>
      <c r="E23" s="446" t="e">
        <f aca="false">IF(D23="",0,VLOOKUP(D23,D$22:D22,1,0))</f>
        <v>#N/A</v>
      </c>
      <c r="F23" s="447" t="n">
        <f aca="false">($B23*$B$7+$C23*$C$7)/100</f>
        <v>0.00435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Chara vulgaris</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5261</v>
      </c>
      <c r="Q23" s="455" t="n">
        <f aca="false">IF(ISTEXT(H23),"",(B23*$B$7/100)+(C23*$C$7/100))</f>
        <v>0.00435</v>
      </c>
      <c r="R23" s="456" t="n">
        <f aca="false">IF(OR(ISTEXT(H23),Q23=0),"",IF(Q23&lt;0.1,1,IF(Q23&lt;1,2,IF(Q23&lt;10,3,IF(Q23&lt;50,4,IF(Q23&gt;=50,5,""))))))</f>
        <v>1</v>
      </c>
      <c r="S23" s="456" t="n">
        <f aca="false">IF(ISERROR(R23*I23),0,R23*I23)</f>
        <v>13</v>
      </c>
      <c r="T23" s="456" t="n">
        <f aca="false">IF(ISERROR(R23*I23*J23),0,R23*I23*J23)</f>
        <v>13</v>
      </c>
      <c r="U23" s="456" t="n">
        <f aca="false">IF(ISERROR(R23*J23),0,R23*J23)</f>
        <v>1</v>
      </c>
      <c r="V23" s="457" t="n">
        <v>1</v>
      </c>
      <c r="W23" s="458"/>
      <c r="Y23" s="459" t="str">
        <f aca="false">IF(A23="new.cod","NEWCOD",IF(AND((Z23=""),ISTEXT(A23)),A23,IF(Z23="","",INDEX('liste reference'!$A$7:$A$892,Z23))))</f>
        <v>CHAVUL</v>
      </c>
      <c r="Z23" s="250" t="n">
        <f aca="false">IF(ISERROR(MATCH(A23,'liste reference'!$A$7:$A$892,0)),IF(ISERROR(MATCH(A23,'liste reference'!$B$7:$B$892,0)),"",(MATCH(A23,'liste reference'!$B$7:$B$892,0))),(MATCH(A23,'liste reference'!$A$7:$A$892,0)))</f>
        <v>162</v>
      </c>
      <c r="AA23" s="460"/>
      <c r="AB23" s="461"/>
      <c r="AC23" s="461"/>
      <c r="BC23" s="250" t="n">
        <f aca="false">IF(A23="","",1)</f>
        <v>1</v>
      </c>
    </row>
    <row r="24" customFormat="false" ht="12.75" hidden="false" customHeight="false" outlineLevel="0" collapsed="false">
      <c r="A24" s="462" t="s">
        <v>594</v>
      </c>
      <c r="B24" s="463" t="n">
        <v>1.5</v>
      </c>
      <c r="C24" s="464" t="n">
        <v>0.3</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0.456</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0.456</v>
      </c>
      <c r="R24" s="456" t="n">
        <f aca="false">IF(OR(ISTEXT(H24),Q24=0),"",IF(Q24&lt;0.1,1,IF(Q24&lt;1,2,IF(Q24&lt;10,3,IF(Q24&lt;50,4,IF(Q24&gt;=50,5,""))))))</f>
        <v>2</v>
      </c>
      <c r="S24" s="456" t="n">
        <f aca="false">IF(ISERROR(R24*I24),0,R24*I24)</f>
        <v>12</v>
      </c>
      <c r="T24" s="456" t="n">
        <f aca="false">IF(ISERROR(R24*I24*J24),0,R24*I24*J24)</f>
        <v>12</v>
      </c>
      <c r="U24" s="470" t="n">
        <f aca="false">IF(ISERROR(R24*J24),0,R24*J24)</f>
        <v>2</v>
      </c>
      <c r="V24" s="457" t="n">
        <v>2</v>
      </c>
      <c r="W24" s="458"/>
      <c r="X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2401</v>
      </c>
      <c r="B25" s="463" t="n">
        <v>0.05</v>
      </c>
      <c r="C25" s="464" t="n">
        <v>0.1</v>
      </c>
      <c r="D25" s="465" t="str">
        <f aca="false">IF(ISERROR(VLOOKUP($A25,'liste reference'!$A$7:$D$892,2,0)),IF(ISERROR(VLOOKUP($A25,'liste reference'!$B$7:$D$892,1,0)),"",VLOOKUP($A25,'liste reference'!$B$7:$D$892,1,0)),VLOOKUP($A25,'liste reference'!$A$7:$D$892,2,0))</f>
        <v>Spirogyra sp.</v>
      </c>
      <c r="E25" s="465" t="e">
        <f aca="false">IF(D25="",0,VLOOKUP(D25,D$22:D24,1,0))</f>
        <v>#N/A</v>
      </c>
      <c r="F25" s="466" t="n">
        <f aca="false">($B25*$B$7+$C25*$C$7)/100</f>
        <v>0.0935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10</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Spirogyra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1147</v>
      </c>
      <c r="Q25" s="455" t="n">
        <f aca="false">IF(ISTEXT(H25),"",(B25*$B$7/100)+(C25*$C$7/100))</f>
        <v>0.0935</v>
      </c>
      <c r="R25" s="456" t="n">
        <f aca="false">IF(OR(ISTEXT(H25),Q25=0),"",IF(Q25&lt;0.1,1,IF(Q25&lt;1,2,IF(Q25&lt;10,3,IF(Q25&lt;50,4,IF(Q25&gt;=50,5,""))))))</f>
        <v>1</v>
      </c>
      <c r="S25" s="456" t="n">
        <f aca="false">IF(ISERROR(R25*I25),0,R25*I25)</f>
        <v>10</v>
      </c>
      <c r="T25" s="456" t="n">
        <f aca="false">IF(ISERROR(R25*I25*J25),0,R25*I25*J25)</f>
        <v>10</v>
      </c>
      <c r="U25" s="470" t="n">
        <f aca="false">IF(ISERROR(R25*J25),0,R25*J25)</f>
        <v>1</v>
      </c>
      <c r="V25" s="457" t="n">
        <v>1</v>
      </c>
      <c r="W25" s="471"/>
      <c r="Y25" s="459" t="str">
        <f aca="false">IF(A25="new.cod","NEWCOD",IF(AND((Z25=""),ISTEXT(A25)),A25,IF(Z25="","",INDEX('liste reference'!$A$7:$A$892,Z25))))</f>
        <v>SPISPX</v>
      </c>
      <c r="Z25" s="250" t="n">
        <f aca="false">IF(ISERROR(MATCH(A25,'liste reference'!$A$7:$A$892,0)),IF(ISERROR(MATCH(A25,'liste reference'!$B$7:$B$892,0)),"",(MATCH(A25,'liste reference'!$B$7:$B$892,0))),(MATCH(A25,'liste reference'!$A$7:$A$892,0)))</f>
        <v>815</v>
      </c>
      <c r="AA25" s="460"/>
      <c r="AB25" s="461"/>
      <c r="AC25" s="461"/>
      <c r="BC25" s="250" t="n">
        <f aca="false">IF(A25="","",1)</f>
        <v>1</v>
      </c>
    </row>
    <row r="26" customFormat="false" ht="12.75" hidden="false" customHeight="false" outlineLevel="0" collapsed="false">
      <c r="A26" s="462" t="s">
        <v>2419</v>
      </c>
      <c r="B26" s="463" t="n">
        <v>0.05</v>
      </c>
      <c r="C26" s="464" t="n">
        <v>0.02</v>
      </c>
      <c r="D26" s="465" t="str">
        <f aca="false">IF(ISERROR(VLOOKUP($A26,'liste reference'!$A$7:$D$892,2,0)),IF(ISERROR(VLOOKUP($A26,'liste reference'!$B$7:$D$892,1,0)),"",VLOOKUP($A26,'liste reference'!$B$7:$D$892,1,0)),VLOOKUP($A26,'liste reference'!$A$7:$D$892,2,0))</f>
        <v>Stigeoclonium sp.</v>
      </c>
      <c r="E26" s="465" t="e">
        <f aca="false">IF(D26="",0,VLOOKUP(D26,D$22:D25,1,0))</f>
        <v>#N/A</v>
      </c>
      <c r="F26" s="466" t="n">
        <f aca="false">($B26*$B$7+$C26*$C$7)/100</f>
        <v>0.0239</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13</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Stigeoclonium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1119</v>
      </c>
      <c r="Q26" s="455" t="n">
        <f aca="false">IF(ISTEXT(H26),"",(B26*$B$7/100)+(C26*$C$7/100))</f>
        <v>0.0239</v>
      </c>
      <c r="R26" s="456" t="n">
        <f aca="false">IF(OR(ISTEXT(H26),Q26=0),"",IF(Q26&lt;0.1,1,IF(Q26&lt;1,2,IF(Q26&lt;10,3,IF(Q26&lt;50,4,IF(Q26&gt;=50,5,""))))))</f>
        <v>1</v>
      </c>
      <c r="S26" s="456" t="n">
        <f aca="false">IF(ISERROR(R26*I26),0,R26*I26)</f>
        <v>13</v>
      </c>
      <c r="T26" s="456" t="n">
        <f aca="false">IF(ISERROR(R26*I26*J26),0,R26*I26*J26)</f>
        <v>26</v>
      </c>
      <c r="U26" s="470" t="n">
        <f aca="false">IF(ISERROR(R26*J26),0,R26*J26)</f>
        <v>2</v>
      </c>
      <c r="V26" s="457" t="n">
        <v>2</v>
      </c>
      <c r="W26" s="458"/>
      <c r="Y26" s="459" t="str">
        <f aca="false">IF(A26="new.cod","NEWCOD",IF(AND((Z26=""),ISTEXT(A26)),A26,IF(Z26="","",INDEX('liste reference'!$A$7:$A$892,Z26))))</f>
        <v>STISPX</v>
      </c>
      <c r="Z26" s="250" t="n">
        <f aca="false">IF(ISERROR(MATCH(A26,'liste reference'!$A$7:$A$892,0)),IF(ISERROR(MATCH(A26,'liste reference'!$B$7:$B$892,0)),"",(MATCH(A26,'liste reference'!$B$7:$B$892,0))),(MATCH(A26,'liste reference'!$A$7:$A$892,0)))</f>
        <v>823</v>
      </c>
      <c r="AA26" s="460"/>
      <c r="AB26" s="461"/>
      <c r="AC26" s="461"/>
      <c r="BC26" s="250" t="n">
        <f aca="false">IF(A26="","",1)</f>
        <v>1</v>
      </c>
    </row>
    <row r="27" customFormat="false" ht="12.75" hidden="false" customHeight="false" outlineLevel="0" collapsed="false">
      <c r="A27" s="462" t="s">
        <v>967</v>
      </c>
      <c r="B27" s="463" t="n">
        <v>0.02</v>
      </c>
      <c r="C27" s="464" t="n">
        <v>0.005</v>
      </c>
      <c r="D27" s="465" t="str">
        <f aca="false">IF(ISERROR(VLOOKUP($A27,'liste reference'!$A$7:$D$892,2,0)),IF(ISERROR(VLOOKUP($A27,'liste reference'!$B$7:$D$892,1,0)),"",VLOOKUP($A27,'liste reference'!$B$7:$D$892,1,0)),VLOOKUP($A27,'liste reference'!$A$7:$D$892,2,0))</f>
        <v>Fontinalis hypnoides var. duriaei</v>
      </c>
      <c r="E27" s="465" t="e">
        <f aca="false">IF(D27="",0,VLOOKUP(D27,D$22:D26,1,0))</f>
        <v>#N/A</v>
      </c>
      <c r="F27" s="466" t="n">
        <f aca="false">($B27*$B$7+$C27*$C$7)/100</f>
        <v>0.00695</v>
      </c>
      <c r="G27" s="467" t="str">
        <f aca="false">IF(A27="","",IF(ISERROR(VLOOKUP($A27,'liste reference'!$A$7:$P$892,13,0)),IF(ISERROR(VLOOKUP($A27,'liste reference'!$B$7:$P$892,12,0)),"    -",VLOOKUP($A27,'liste reference'!$B$7:$P$892,12,0)),VLOOKUP($A27,'liste reference'!$A$7:$P$892,13,0)))</f>
        <v>BRm</v>
      </c>
      <c r="H27" s="449" t="n">
        <f aca="false">IF(A27="","x",IF(ISERROR(VLOOKUP($A27,'liste reference'!$A$7:$P$892,14,0)),IF(ISERROR(VLOOKUP($A27,'liste reference'!$B$7:$P$892,13,0)),"x",VLOOKUP($A27,'liste reference'!$B$7:$P$892,13,0)),VLOOKUP($A27,'liste reference'!$A$7:$P$892,14,0)))</f>
        <v>5</v>
      </c>
      <c r="I27" s="468" t="n">
        <f aca="false">IF(ISNUMBER(H27),IF(ISERROR(VLOOKUP($A27,'liste reference'!$A$7:$P$892,3,0)),IF(ISERROR(VLOOKUP($A27,'liste reference'!$B$7:$P$892,2,0)),"",VLOOKUP($A27,'liste reference'!$B$7:$P$892,2,0)),VLOOKUP($A27,'liste reference'!$A$7:$P$892,3,0)),"")</f>
        <v>14</v>
      </c>
      <c r="J27" s="451" t="n">
        <f aca="false">IF(ISNUMBER(H27),IF(ISERROR(VLOOKUP($A27,'liste reference'!$A$7:$P$892,4,0)),IF(ISERROR(VLOOKUP($A27,'liste reference'!$B$7:$P$892,3,0)),"",VLOOKUP($A27,'liste reference'!$B$7:$P$892,3,0)),VLOOKUP($A27,'liste reference'!$A$7:$P$892,4,0)),"")</f>
        <v>3</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Fontinalis hypnoides var. duriaei</v>
      </c>
      <c r="L27" s="469"/>
      <c r="M27" s="469"/>
      <c r="N27" s="469"/>
      <c r="O27" s="454" t="str">
        <f aca="false">IF(AA27="Cf.","Cf.","")</f>
        <v>Cf.</v>
      </c>
      <c r="P27" s="454" t="n">
        <f aca="false">IF($A27="NEWCOD",IF($AC27="","No",$AC27),IF(ISTEXT($E27),"DEJA SAISI !",IF($A27="","",IF(ISERROR(VLOOKUP($A27,'liste reference'!A:S,19,FALSE())),IF(ISERROR(VLOOKUP($A27,'liste reference'!B:S,19,FALSE())),"",VLOOKUP($A27,'liste reference'!B:S,19,FALSE())),VLOOKUP($A27,'liste reference'!A:S,19,FALSE())))))</f>
        <v>1215</v>
      </c>
      <c r="Q27" s="455" t="n">
        <f aca="false">IF(ISTEXT(H27),"",(B27*$B$7/100)+(C27*$C$7/100))</f>
        <v>0.00695</v>
      </c>
      <c r="R27" s="456" t="n">
        <f aca="false">IF(OR(ISTEXT(H27),Q27=0),"",IF(Q27&lt;0.1,1,IF(Q27&lt;1,2,IF(Q27&lt;10,3,IF(Q27&lt;50,4,IF(Q27&gt;=50,5,""))))))</f>
        <v>1</v>
      </c>
      <c r="S27" s="456" t="n">
        <f aca="false">IF(ISERROR(R27*I27),0,R27*I27)</f>
        <v>14</v>
      </c>
      <c r="T27" s="456" t="n">
        <f aca="false">IF(ISERROR(R27*I27*J27),0,R27*I27*J27)</f>
        <v>42</v>
      </c>
      <c r="U27" s="470" t="n">
        <f aca="false">IF(ISERROR(R27*J27),0,R27*J27)</f>
        <v>3</v>
      </c>
      <c r="V27" s="457" t="n">
        <v>3</v>
      </c>
      <c r="W27" s="458"/>
      <c r="Y27" s="459" t="str">
        <f aca="false">IF(A27="new.cod","NEWCOD",IF(AND((Z27=""),ISTEXT(A27)),A27,IF(Z27="","",INDEX('liste reference'!$A$7:$A$892,Z27))))</f>
        <v>FONDUR</v>
      </c>
      <c r="Z27" s="250" t="n">
        <f aca="false">IF(ISERROR(MATCH(A27,'liste reference'!$A$7:$A$892,0)),IF(ISERROR(MATCH(A27,'liste reference'!$B$7:$B$892,0)),"",(MATCH(A27,'liste reference'!$B$7:$B$892,0))),(MATCH(A27,'liste reference'!$A$7:$A$892,0)))</f>
        <v>305</v>
      </c>
      <c r="AA27" s="460" t="s">
        <v>2684</v>
      </c>
      <c r="AB27" s="461"/>
      <c r="AC27" s="461"/>
      <c r="BC27" s="250" t="n">
        <f aca="false">IF(A27="","",1)</f>
        <v>1</v>
      </c>
    </row>
    <row r="28" customFormat="false" ht="12.75" hidden="false" customHeight="false" outlineLevel="0" collapsed="false">
      <c r="A28" s="462" t="s">
        <v>839</v>
      </c>
      <c r="B28" s="463"/>
      <c r="C28" s="464" t="n">
        <v>0.005</v>
      </c>
      <c r="D28" s="465" t="str">
        <f aca="false">IF(ISERROR(VLOOKUP($A28,'liste reference'!$A$7:$D$892,2,0)),IF(ISERROR(VLOOKUP($A28,'liste reference'!$B$7:$D$892,1,0)),"",VLOOKUP($A28,'liste reference'!$B$7:$D$892,1,0)),VLOOKUP($A28,'liste reference'!$A$7:$D$892,2,0))</f>
        <v>Equisetum arvense</v>
      </c>
      <c r="E28" s="465" t="e">
        <f aca="false">IF(D28="",0,VLOOKUP(D28,D$22:D27,1,0))</f>
        <v>#N/A</v>
      </c>
      <c r="F28" s="466" t="n">
        <f aca="false">($B28*$B$7+$C28*$C$7)/100</f>
        <v>0.00435</v>
      </c>
      <c r="G28" s="467" t="str">
        <f aca="false">IF(A28="","",IF(ISERROR(VLOOKUP($A28,'liste reference'!$A$7:$P$892,13,0)),IF(ISERROR(VLOOKUP($A28,'liste reference'!$B$7:$P$892,12,0)),"    -",VLOOKUP($A28,'liste reference'!$B$7:$P$892,12,0)),VLOOKUP($A28,'liste reference'!$A$7:$P$892,13,0)))</f>
        <v>PTE</v>
      </c>
      <c r="H28" s="449" t="n">
        <f aca="false">IF(A28="","x",IF(ISERROR(VLOOKUP($A28,'liste reference'!$A$7:$P$892,14,0)),IF(ISERROR(VLOOKUP($A28,'liste reference'!$B$7:$P$892,13,0)),"x",VLOOKUP($A28,'liste reference'!$B$7:$P$892,13,0)),VLOOKUP($A28,'liste reference'!$A$7:$P$892,14,0)))</f>
        <v>6</v>
      </c>
      <c r="I28" s="468" t="n">
        <f aca="false">IF(ISNUMBER(H28),IF(ISERROR(VLOOKUP($A28,'liste reference'!$A$7:$P$892,3,0)),IF(ISERROR(VLOOKUP($A28,'liste reference'!$B$7:$P$892,2,0)),"",VLOOKUP($A28,'liste reference'!$B$7:$P$892,2,0)),VLOOKUP($A28,'liste reference'!$A$7:$P$892,3,0)),"")</f>
        <v>0</v>
      </c>
      <c r="J28" s="451" t="n">
        <f aca="false">IF(ISNUMBER(H28),IF(ISERROR(VLOOKUP($A28,'liste reference'!$A$7:$P$892,4,0)),IF(ISERROR(VLOOKUP($A28,'liste reference'!$B$7:$P$892,3,0)),"",VLOOKUP($A28,'liste reference'!$B$7:$P$892,3,0)),VLOOKUP($A28,'liste reference'!$A$7:$P$892,4,0)),"")</f>
        <v>0</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Equisetum arvense</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1384</v>
      </c>
      <c r="Q28" s="455" t="n">
        <f aca="false">IF(ISTEXT(H28),"",(B28*$B$7/100)+(C28*$C$7/100))</f>
        <v>0.00435</v>
      </c>
      <c r="R28" s="456" t="n">
        <f aca="false">IF(OR(ISTEXT(H28),Q28=0),"",IF(Q28&lt;0.1,1,IF(Q28&lt;1,2,IF(Q28&lt;10,3,IF(Q28&lt;50,4,IF(Q28&gt;=50,5,""))))))</f>
        <v>1</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EQUARV</v>
      </c>
      <c r="Z28" s="250" t="n">
        <f aca="false">IF(ISERROR(MATCH(A28,'liste reference'!$A$7:$A$892,0)),IF(ISERROR(MATCH(A28,'liste reference'!$B$7:$B$892,0)),"",(MATCH(A28,'liste reference'!$B$7:$B$892,0))),(MATCH(A28,'liste reference'!$A$7:$A$892,0)))</f>
        <v>266</v>
      </c>
      <c r="AA28" s="460"/>
      <c r="AB28" s="461"/>
      <c r="AC28" s="461"/>
      <c r="BC28" s="250" t="n">
        <f aca="false">IF(A28="","",1)</f>
        <v>1</v>
      </c>
    </row>
    <row r="29" customFormat="false" ht="12.75" hidden="false" customHeight="false" outlineLevel="0" collapsed="false">
      <c r="A29" s="462" t="s">
        <v>1500</v>
      </c>
      <c r="B29" s="463" t="n">
        <v>0.005</v>
      </c>
      <c r="C29" s="464" t="n">
        <v>0.01</v>
      </c>
      <c r="D29" s="465" t="str">
        <f aca="false">IF(ISERROR(VLOOKUP($A29,'liste reference'!$A$7:$D$892,2,0)),IF(ISERROR(VLOOKUP($A29,'liste reference'!$B$7:$D$892,1,0)),"",VLOOKUP($A29,'liste reference'!$B$7:$D$892,1,0)),VLOOKUP($A29,'liste reference'!$A$7:$D$892,2,0))</f>
        <v>Myriophyllum spicatum</v>
      </c>
      <c r="E29" s="465" t="e">
        <f aca="false">IF(D29="",0,VLOOKUP(D29,D$22:D28,1,0))</f>
        <v>#N/A</v>
      </c>
      <c r="F29" s="466" t="n">
        <f aca="false">($B29*$B$7+$C29*$C$7)/100</f>
        <v>0.00935</v>
      </c>
      <c r="G29" s="467" t="str">
        <f aca="false">IF(A29="","",IF(ISERROR(VLOOKUP($A29,'liste reference'!$A$7:$P$892,13,0)),IF(ISERROR(VLOOKUP($A29,'liste reference'!$B$7:$P$892,12,0)),"    -",VLOOKUP($A29,'liste reference'!$B$7:$P$892,12,0)),VLOOKUP($A29,'liste reference'!$A$7:$P$892,13,0)))</f>
        <v>PHy</v>
      </c>
      <c r="H29" s="449" t="n">
        <f aca="false">IF(A29="","x",IF(ISERROR(VLOOKUP($A29,'liste reference'!$A$7:$P$892,14,0)),IF(ISERROR(VLOOKUP($A29,'liste reference'!$B$7:$P$892,13,0)),"x",VLOOKUP($A29,'liste reference'!$B$7:$P$892,13,0)),VLOOKUP($A29,'liste reference'!$A$7:$P$892,14,0)))</f>
        <v>7</v>
      </c>
      <c r="I29" s="468" t="n">
        <f aca="false">IF(ISNUMBER(H29),IF(ISERROR(VLOOKUP($A29,'liste reference'!$A$7:$P$892,3,0)),IF(ISERROR(VLOOKUP($A29,'liste reference'!$B$7:$P$892,2,0)),"",VLOOKUP($A29,'liste reference'!$B$7:$P$892,2,0)),VLOOKUP($A29,'liste reference'!$A$7:$P$892,3,0)),"")</f>
        <v>8</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Myriophyllum spicatum</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1778</v>
      </c>
      <c r="Q29" s="455" t="n">
        <f aca="false">IF(ISTEXT(H29),"",(B29*$B$7/100)+(C29*$C$7/100))</f>
        <v>0.00935</v>
      </c>
      <c r="R29" s="456" t="n">
        <f aca="false">IF(OR(ISTEXT(H29),Q29=0),"",IF(Q29&lt;0.1,1,IF(Q29&lt;1,2,IF(Q29&lt;10,3,IF(Q29&lt;50,4,IF(Q29&gt;=50,5,""))))))</f>
        <v>1</v>
      </c>
      <c r="S29" s="456" t="n">
        <f aca="false">IF(ISERROR(R29*I29),0,R29*I29)</f>
        <v>8</v>
      </c>
      <c r="T29" s="456" t="n">
        <f aca="false">IF(ISERROR(R29*I29*J29),0,R29*I29*J29)</f>
        <v>16</v>
      </c>
      <c r="U29" s="470" t="n">
        <f aca="false">IF(ISERROR(R29*J29),0,R29*J29)</f>
        <v>2</v>
      </c>
      <c r="V29" s="457" t="n">
        <v>2</v>
      </c>
      <c r="W29" s="458"/>
      <c r="Y29" s="459" t="str">
        <f aca="false">IF(A29="new.cod","NEWCOD",IF(AND((Z29=""),ISTEXT(A29)),A29,IF(Z29="","",INDEX('liste reference'!$A$7:$A$892,Z29))))</f>
        <v>MYRSPI</v>
      </c>
      <c r="Z29" s="250" t="n">
        <f aca="false">IF(ISERROR(MATCH(A29,'liste reference'!$A$7:$A$892,0)),IF(ISERROR(MATCH(A29,'liste reference'!$B$7:$B$892,0)),"",(MATCH(A29,'liste reference'!$B$7:$B$892,0))),(MATCH(A29,'liste reference'!$A$7:$A$892,0)))</f>
        <v>495</v>
      </c>
      <c r="AA29" s="460"/>
      <c r="AB29" s="461"/>
      <c r="AC29" s="461"/>
      <c r="BC29" s="250" t="n">
        <f aca="false">IF(A29="","",1)</f>
        <v>1</v>
      </c>
    </row>
    <row r="30" customFormat="false" ht="12.75" hidden="false" customHeight="false" outlineLevel="0" collapsed="false">
      <c r="A30" s="462" t="s">
        <v>1889</v>
      </c>
      <c r="B30" s="463"/>
      <c r="C30" s="464" t="n">
        <v>0.25</v>
      </c>
      <c r="D30" s="465" t="str">
        <f aca="false">IF(ISERROR(VLOOKUP($A30,'liste reference'!$A$7:$D$892,2,0)),IF(ISERROR(VLOOKUP($A30,'liste reference'!$B$7:$D$892,1,0)),"",VLOOKUP($A30,'liste reference'!$B$7:$D$892,1,0)),VLOOKUP($A30,'liste reference'!$A$7:$D$892,2,0))</f>
        <v>Potamogeton nodosus</v>
      </c>
      <c r="E30" s="465" t="e">
        <f aca="false">IF(D30="",0,VLOOKUP(D30,D$22:D29,1,0))</f>
        <v>#N/A</v>
      </c>
      <c r="F30" s="466" t="n">
        <f aca="false">($B30*$B$7+$C30*$C$7)/100</f>
        <v>0.2175</v>
      </c>
      <c r="G30" s="467" t="str">
        <f aca="false">IF(A30="","",IF(ISERROR(VLOOKUP($A30,'liste reference'!$A$7:$P$892,13,0)),IF(ISERROR(VLOOKUP($A30,'liste reference'!$B$7:$P$892,12,0)),"    -",VLOOKUP($A30,'liste reference'!$B$7:$P$892,12,0)),VLOOKUP($A30,'liste reference'!$A$7:$P$892,13,0)))</f>
        <v>PHy</v>
      </c>
      <c r="H30" s="449" t="n">
        <f aca="false">IF(A30="","x",IF(ISERROR(VLOOKUP($A30,'liste reference'!$A$7:$P$892,14,0)),IF(ISERROR(VLOOKUP($A30,'liste reference'!$B$7:$P$892,13,0)),"x",VLOOKUP($A30,'liste reference'!$B$7:$P$892,13,0)),VLOOKUP($A30,'liste reference'!$A$7:$P$892,14,0)))</f>
        <v>7</v>
      </c>
      <c r="I30" s="468" t="n">
        <f aca="false">IF(ISNUMBER(H30),IF(ISERROR(VLOOKUP($A30,'liste reference'!$A$7:$P$892,3,0)),IF(ISERROR(VLOOKUP($A30,'liste reference'!$B$7:$P$892,2,0)),"",VLOOKUP($A30,'liste reference'!$B$7:$P$892,2,0)),VLOOKUP($A30,'liste reference'!$A$7:$P$892,3,0)),"")</f>
        <v>4</v>
      </c>
      <c r="J30" s="451" t="n">
        <f aca="false">IF(ISNUMBER(H30),IF(ISERROR(VLOOKUP($A30,'liste reference'!$A$7:$P$892,4,0)),IF(ISERROR(VLOOKUP($A30,'liste reference'!$B$7:$P$892,3,0)),"",VLOOKUP($A30,'liste reference'!$B$7:$P$892,3,0)),VLOOKUP($A30,'liste reference'!$A$7:$P$892,4,0)),"")</f>
        <v>3</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Potamogeton nodosus</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1652</v>
      </c>
      <c r="Q30" s="455" t="n">
        <f aca="false">IF(ISTEXT(H30),"",(B30*$B$7/100)+(C30*$C$7/100))</f>
        <v>0.2175</v>
      </c>
      <c r="R30" s="456" t="n">
        <f aca="false">IF(OR(ISTEXT(H30),Q30=0),"",IF(Q30&lt;0.1,1,IF(Q30&lt;1,2,IF(Q30&lt;10,3,IF(Q30&lt;50,4,IF(Q30&gt;=50,5,""))))))</f>
        <v>2</v>
      </c>
      <c r="S30" s="456" t="n">
        <f aca="false">IF(ISERROR(R30*I30),0,R30*I30)</f>
        <v>8</v>
      </c>
      <c r="T30" s="456" t="n">
        <f aca="false">IF(ISERROR(R30*I30*J30),0,R30*I30*J30)</f>
        <v>24</v>
      </c>
      <c r="U30" s="470" t="n">
        <f aca="false">IF(ISERROR(R30*J30),0,R30*J30)</f>
        <v>6</v>
      </c>
      <c r="V30" s="457" t="n">
        <v>6</v>
      </c>
      <c r="W30" s="458"/>
      <c r="Y30" s="459" t="str">
        <f aca="false">IF(A30="new.cod","NEWCOD",IF(AND((Z30=""),ISTEXT(A30)),A30,IF(Z30="","",INDEX('liste reference'!$A$7:$A$892,Z30))))</f>
        <v>POTNOD</v>
      </c>
      <c r="Z30" s="250" t="n">
        <f aca="false">IF(ISERROR(MATCH(A30,'liste reference'!$A$7:$A$892,0)),IF(ISERROR(MATCH(A30,'liste reference'!$B$7:$B$892,0)),"",(MATCH(A30,'liste reference'!$B$7:$B$892,0))),(MATCH(A30,'liste reference'!$A$7:$A$892,0)))</f>
        <v>634</v>
      </c>
      <c r="AA30" s="460"/>
      <c r="AB30" s="461"/>
      <c r="AC30" s="461"/>
      <c r="BC30" s="250" t="n">
        <f aca="false">IF(A30="","",1)</f>
        <v>1</v>
      </c>
    </row>
    <row r="31" customFormat="false" ht="12.75" hidden="false" customHeight="false" outlineLevel="0" collapsed="false">
      <c r="A31" s="462" t="s">
        <v>2159</v>
      </c>
      <c r="B31" s="463"/>
      <c r="C31" s="464" t="n">
        <v>0.005</v>
      </c>
      <c r="D31" s="465" t="str">
        <f aca="false">IF(ISERROR(VLOOKUP($A31,'liste reference'!$A$7:$D$892,2,0)),IF(ISERROR(VLOOKUP($A31,'liste reference'!$B$7:$D$892,1,0)),"",VLOOKUP($A31,'liste reference'!$B$7:$D$892,1,0)),VLOOKUP($A31,'liste reference'!$A$7:$D$892,2,0))</f>
        <v>Rorippa sp.</v>
      </c>
      <c r="E31" s="465" t="e">
        <f aca="false">IF(D31="",0,VLOOKUP(D31,D$22:D30,1,0))</f>
        <v>#N/A</v>
      </c>
      <c r="F31" s="466" t="n">
        <f aca="false">($B31*$B$7+$C31*$C$7)/100</f>
        <v>0.00435</v>
      </c>
      <c r="G31" s="467" t="str">
        <f aca="false">IF(A31="","",IF(ISERROR(VLOOKUP($A31,'liste reference'!$A$7:$P$892,13,0)),IF(ISERROR(VLOOKUP($A31,'liste reference'!$B$7:$P$892,12,0)),"    -",VLOOKUP($A31,'liste reference'!$B$7:$P$892,12,0)),VLOOKUP($A31,'liste reference'!$A$7:$P$892,13,0)))</f>
        <v>PHe</v>
      </c>
      <c r="H31" s="449" t="n">
        <f aca="false">IF(A31="","x",IF(ISERROR(VLOOKUP($A31,'liste reference'!$A$7:$P$892,14,0)),IF(ISERROR(VLOOKUP($A31,'liste reference'!$B$7:$P$892,13,0)),"x",VLOOKUP($A31,'liste reference'!$B$7:$P$892,13,0)),VLOOKUP($A31,'liste reference'!$A$7:$P$892,14,0)))</f>
        <v>8</v>
      </c>
      <c r="I31" s="468" t="n">
        <f aca="false">IF(ISNUMBER(H31),IF(ISERROR(VLOOKUP($A31,'liste reference'!$A$7:$P$892,3,0)),IF(ISERROR(VLOOKUP($A31,'liste reference'!$B$7:$P$892,2,0)),"",VLOOKUP($A31,'liste reference'!$B$7:$P$892,2,0)),VLOOKUP($A31,'liste reference'!$A$7:$P$892,3,0)),"")</f>
        <v>0</v>
      </c>
      <c r="J31" s="451" t="n">
        <f aca="false">IF(ISNUMBER(H31),IF(ISERROR(VLOOKUP($A31,'liste reference'!$A$7:$P$892,4,0)),IF(ISERROR(VLOOKUP($A31,'liste reference'!$B$7:$P$892,3,0)),"",VLOOKUP($A31,'liste reference'!$B$7:$P$892,3,0)),VLOOKUP($A31,'liste reference'!$A$7:$P$892,4,0)),"")</f>
        <v>0</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Rorippa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1764</v>
      </c>
      <c r="Q31" s="455" t="n">
        <f aca="false">IF(ISTEXT(H31),"",(B31*$B$7/100)+(C31*$C$7/100))</f>
        <v>0.00435</v>
      </c>
      <c r="R31" s="456" t="n">
        <f aca="false">IF(OR(ISTEXT(H31),Q31=0),"",IF(Q31&lt;0.1,1,IF(Q31&lt;1,2,IF(Q31&lt;10,3,IF(Q31&lt;50,4,IF(Q31&gt;=50,5,""))))))</f>
        <v>1</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RORSPX</v>
      </c>
      <c r="Z31" s="250" t="n">
        <f aca="false">IF(ISERROR(MATCH(A31,'liste reference'!$A$7:$A$892,0)),IF(ISERROR(MATCH(A31,'liste reference'!$B$7:$B$892,0)),"",(MATCH(A31,'liste reference'!$B$7:$B$892,0))),(MATCH(A31,'liste reference'!$A$7:$A$892,0)))</f>
        <v>727</v>
      </c>
      <c r="AA31" s="460"/>
      <c r="AB31" s="461"/>
      <c r="AC31" s="461"/>
      <c r="BC31" s="250" t="n">
        <f aca="false">IF(A31="","",1)</f>
        <v>1</v>
      </c>
    </row>
    <row r="32" customFormat="false" ht="12.75" hidden="false" customHeight="false" outlineLevel="0" collapsed="false">
      <c r="A32" s="462" t="s">
        <v>172</v>
      </c>
      <c r="B32" s="463" t="n">
        <v>0.005</v>
      </c>
      <c r="C32" s="464"/>
      <c r="D32" s="465" t="str">
        <f aca="false">IF(ISERROR(VLOOKUP($A32,'liste reference'!$A$7:$D$892,2,0)),IF(ISERROR(VLOOKUP($A32,'liste reference'!$B$7:$D$892,1,0)),"",VLOOKUP($A32,'liste reference'!$B$7:$D$892,1,0)),VLOOKUP($A32,'liste reference'!$A$7:$D$892,2,0))</f>
        <v>Arundo donax</v>
      </c>
      <c r="E32" s="465" t="e">
        <f aca="false">IF(D32="",0,VLOOKUP(D32,D$22:D31,1,0))</f>
        <v>#N/A</v>
      </c>
      <c r="F32" s="466" t="n">
        <f aca="false">($B32*$B$7+$C32*$C$7)/100</f>
        <v>0.00065</v>
      </c>
      <c r="G32" s="467" t="str">
        <f aca="false">IF(A32="","",IF(ISERROR(VLOOKUP($A32,'liste reference'!$A$7:$P$892,13,0)),IF(ISERROR(VLOOKUP($A32,'liste reference'!$B$7:$P$892,12,0)),"    -",VLOOKUP($A32,'liste reference'!$B$7:$P$892,12,0)),VLOOKUP($A32,'liste reference'!$A$7:$P$892,13,0)))</f>
        <v>PHg</v>
      </c>
      <c r="H32" s="449" t="n">
        <f aca="false">IF(A32="","x",IF(ISERROR(VLOOKUP($A32,'liste reference'!$A$7:$P$892,14,0)),IF(ISERROR(VLOOKUP($A32,'liste reference'!$B$7:$P$892,13,0)),"x",VLOOKUP($A32,'liste reference'!$B$7:$P$892,13,0)),VLOOKUP($A32,'liste reference'!$A$7:$P$892,14,0)))</f>
        <v>9</v>
      </c>
      <c r="I32" s="468" t="n">
        <f aca="false">IF(ISNUMBER(H32),IF(ISERROR(VLOOKUP($A32,'liste reference'!$A$7:$P$892,3,0)),IF(ISERROR(VLOOKUP($A32,'liste reference'!$B$7:$P$892,2,0)),"",VLOOKUP($A32,'liste reference'!$B$7:$P$892,2,0)),VLOOKUP($A32,'liste reference'!$A$7:$P$892,3,0)),"")</f>
        <v>0</v>
      </c>
      <c r="J32" s="451" t="n">
        <f aca="false">IF(ISNUMBER(H32),IF(ISERROR(VLOOKUP($A32,'liste reference'!$A$7:$P$892,4,0)),IF(ISERROR(VLOOKUP($A32,'liste reference'!$B$7:$P$892,3,0)),"",VLOOKUP($A32,'liste reference'!$B$7:$P$892,3,0)),VLOOKUP($A32,'liste reference'!$A$7:$P$892,4,0)),"")</f>
        <v>0</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Arundo donax</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1551</v>
      </c>
      <c r="Q32" s="455" t="n">
        <f aca="false">IF(ISTEXT(H32),"",(B32*$B$7/100)+(C32*$C$7/100))</f>
        <v>0.00065</v>
      </c>
      <c r="R32" s="456" t="n">
        <f aca="false">IF(OR(ISTEXT(H32),Q32=0),"",IF(Q32&lt;0.1,1,IF(Q32&lt;1,2,IF(Q32&lt;10,3,IF(Q32&lt;50,4,IF(Q32&gt;=50,5,""))))))</f>
        <v>1</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ARUDON</v>
      </c>
      <c r="Z32" s="250" t="n">
        <f aca="false">IF(ISERROR(MATCH(A32,'liste reference'!$A$7:$A$892,0)),IF(ISERROR(MATCH(A32,'liste reference'!$B$7:$B$892,0)),"",(MATCH(A32,'liste reference'!$B$7:$B$892,0))),(MATCH(A32,'liste reference'!$A$7:$A$892,0)))</f>
        <v>38</v>
      </c>
      <c r="AA32" s="460"/>
      <c r="AB32" s="461"/>
      <c r="AC32" s="461"/>
      <c r="BC32" s="250" t="n">
        <f aca="false">IF(A32="","",1)</f>
        <v>1</v>
      </c>
    </row>
    <row r="33" customFormat="false" ht="12.75" hidden="false" customHeight="false" outlineLevel="0" collapsed="false">
      <c r="A33" s="462" t="s">
        <v>653</v>
      </c>
      <c r="B33" s="463"/>
      <c r="C33" s="464" t="n">
        <v>0.005</v>
      </c>
      <c r="D33" s="465" t="str">
        <f aca="false">IF(ISERROR(VLOOKUP($A33,'liste reference'!$A$7:$D$892,2,0)),IF(ISERROR(VLOOKUP($A33,'liste reference'!$B$7:$D$892,1,0)),"",VLOOKUP($A33,'liste reference'!$B$7:$D$892,1,0)),VLOOKUP($A33,'liste reference'!$A$7:$D$892,2,0))</f>
        <v>Cyperus longus</v>
      </c>
      <c r="E33" s="465" t="e">
        <f aca="false">IF(D33="",0,VLOOKUP(D33,D$22:D32,1,0))</f>
        <v>#N/A</v>
      </c>
      <c r="F33" s="466" t="n">
        <f aca="false">($B33*$B$7+$C33*$C$7)/100</f>
        <v>0.00435</v>
      </c>
      <c r="G33" s="467" t="str">
        <f aca="false">IF(A33="","",IF(ISERROR(VLOOKUP($A33,'liste reference'!$A$7:$P$892,13,0)),IF(ISERROR(VLOOKUP($A33,'liste reference'!$B$7:$P$892,12,0)),"    -",VLOOKUP($A33,'liste reference'!$B$7:$P$892,12,0)),VLOOKUP($A33,'liste reference'!$A$7:$P$892,13,0)))</f>
        <v>PHg</v>
      </c>
      <c r="H33" s="449" t="n">
        <f aca="false">IF(A33="","x",IF(ISERROR(VLOOKUP($A33,'liste reference'!$A$7:$P$892,14,0)),IF(ISERROR(VLOOKUP($A33,'liste reference'!$B$7:$P$892,13,0)),"x",VLOOKUP($A33,'liste reference'!$B$7:$P$892,13,0)),VLOOKUP($A33,'liste reference'!$A$7:$P$892,14,0)))</f>
        <v>9</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Cyperus longus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15</v>
      </c>
      <c r="Q33" s="455" t="n">
        <f aca="false">IF(ISTEXT(H33),"",(B33*$B$7/100)+(C33*$C$7/100))</f>
        <v>0.00435</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CYPLON</v>
      </c>
      <c r="Z33" s="250" t="n">
        <f aca="false">IF(ISERROR(MATCH(A33,'liste reference'!$A$7:$A$892,0)),IF(ISERROR(MATCH(A33,'liste reference'!$B$7:$B$892,0)),"",(MATCH(A33,'liste reference'!$B$7:$B$892,0))),(MATCH(A33,'liste reference'!$A$7:$A$892,0)))</f>
        <v>201</v>
      </c>
      <c r="AA33" s="460"/>
      <c r="AB33" s="461"/>
      <c r="AC33" s="461"/>
      <c r="BC33" s="250" t="n">
        <f aca="false">IF(A33="","",1)</f>
        <v>1</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2685</v>
      </c>
      <c r="B63" s="463" t="n">
        <v>3.5</v>
      </c>
      <c r="C63" s="464" t="n">
        <v>1</v>
      </c>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1.325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Paspalum distichum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2686</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TAVIGNANO</v>
      </c>
      <c r="B84" s="493" t="str">
        <f aca="false">C3</f>
        <v>Aleria</v>
      </c>
      <c r="C84" s="494" t="n">
        <f aca="false">A4</f>
        <v>41073</v>
      </c>
      <c r="D84" s="495" t="n">
        <f aca="false">IF(ISERROR(SUM($T$23:$T$82)/SUM($U$23:$U$82)),"",SUM($T$23:$T$82)/SUM($U$23:$U$82))</f>
        <v>8.41176470588235</v>
      </c>
      <c r="E84" s="496" t="n">
        <f aca="false">N13</f>
        <v>12</v>
      </c>
      <c r="F84" s="493" t="n">
        <f aca="false">N14</f>
        <v>11</v>
      </c>
      <c r="G84" s="493" t="n">
        <f aca="false">N15</f>
        <v>3</v>
      </c>
      <c r="H84" s="493" t="n">
        <f aca="false">N16</f>
        <v>2</v>
      </c>
      <c r="I84" s="493" t="n">
        <f aca="false">N17</f>
        <v>2</v>
      </c>
      <c r="J84" s="497" t="n">
        <f aca="false">N8</f>
        <v>6.18181818181818</v>
      </c>
      <c r="K84" s="495" t="n">
        <f aca="false">N9</f>
        <v>5.74139672585307</v>
      </c>
      <c r="L84" s="496" t="n">
        <f aca="false">N10</f>
        <v>0</v>
      </c>
      <c r="M84" s="496" t="n">
        <f aca="false">N11</f>
        <v>14</v>
      </c>
      <c r="N84" s="495" t="n">
        <f aca="false">O8</f>
        <v>1.18181818181818</v>
      </c>
      <c r="O84" s="495" t="n">
        <f aca="false">O9</f>
        <v>1.16774841624228</v>
      </c>
      <c r="P84" s="496" t="n">
        <f aca="false">O10</f>
        <v>0</v>
      </c>
      <c r="Q84" s="496" t="n">
        <f aca="false">O11</f>
        <v>3</v>
      </c>
      <c r="R84" s="496" t="n">
        <f aca="false">F21</f>
        <v>2.15025</v>
      </c>
      <c r="S84" s="496" t="n">
        <f aca="false">K11</f>
        <v>0</v>
      </c>
      <c r="T84" s="496" t="n">
        <f aca="false">K12</f>
        <v>4</v>
      </c>
      <c r="U84" s="496" t="n">
        <f aca="false">K13</f>
        <v>1</v>
      </c>
      <c r="V84" s="498" t="n">
        <f aca="false">K14</f>
        <v>1</v>
      </c>
      <c r="W84" s="499" t="n">
        <f aca="false">K15</f>
        <v>5</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14</v>
      </c>
      <c r="T87" s="250"/>
      <c r="U87" s="250"/>
      <c r="V87" s="250"/>
    </row>
    <row r="88" customFormat="false" ht="12.75" hidden="true" customHeight="false" outlineLevel="0" collapsed="false">
      <c r="P88" s="250"/>
      <c r="Q88" s="250" t="s">
        <v>2690</v>
      </c>
      <c r="R88" s="250"/>
      <c r="S88" s="457" t="n">
        <f aca="false">VLOOKUP((S87),($S$23:$U$82),2,0)</f>
        <v>42</v>
      </c>
      <c r="T88" s="250"/>
      <c r="U88" s="250"/>
      <c r="V88" s="250"/>
    </row>
    <row r="89" customFormat="false" ht="12.75" hidden="false" customHeight="false" outlineLevel="0" collapsed="false">
      <c r="Q89" s="250" t="s">
        <v>2691</v>
      </c>
      <c r="R89" s="250"/>
      <c r="S89" s="457" t="n">
        <f aca="false">VLOOKUP((S87),($S$23:$U$82),3,0)</f>
        <v>3</v>
      </c>
      <c r="T89" s="250"/>
    </row>
    <row r="90" customFormat="false" ht="12.75" hidden="false" customHeight="false" outlineLevel="0" collapsed="false">
      <c r="Q90" s="250" t="s">
        <v>2692</v>
      </c>
      <c r="R90" s="250"/>
      <c r="S90" s="502" t="n">
        <f aca="false">IF(ISERROR(SUM($T$23:$T$82)/SUM($U$23:$U$82)),"",(SUM($T$23:$T$82)-S88)/(SUM($U$23:$U$82)-S89))</f>
        <v>7.21428571428571</v>
      </c>
      <c r="T90" s="250"/>
    </row>
    <row r="91" customFormat="false" ht="12.75" hidden="false" customHeight="false" outlineLevel="0" collapsed="false">
      <c r="Q91" s="456" t="s">
        <v>2693</v>
      </c>
      <c r="R91" s="456"/>
      <c r="S91" s="456" t="str">
        <f aca="false">INDEX('liste reference'!$A$7:$A$892,$T$91)</f>
        <v>FONDUR</v>
      </c>
      <c r="T91" s="250" t="n">
        <f aca="false">IF(ISERROR(MATCH($S$93,'liste reference'!$A$7:$A$892,0)),MATCH($S$93,'liste reference'!$B$7:$B$892,0),(MATCH($S$93,'liste reference'!$A$7:$A$892,0)))</f>
        <v>305</v>
      </c>
      <c r="U91" s="491"/>
    </row>
    <row r="92" customFormat="false" ht="12.75" hidden="false" customHeight="false" outlineLevel="0" collapsed="false">
      <c r="Q92" s="250" t="s">
        <v>2694</v>
      </c>
      <c r="R92" s="250"/>
      <c r="S92" s="250" t="n">
        <f aca="false">MATCH(S87,$S$23:$S$82,0)</f>
        <v>5</v>
      </c>
      <c r="T92" s="250"/>
    </row>
    <row r="93" customFormat="false" ht="12.75" hidden="false" customHeight="false" outlineLevel="0" collapsed="false">
      <c r="Q93" s="456" t="s">
        <v>2695</v>
      </c>
      <c r="R93" s="250"/>
      <c r="S93" s="456" t="str">
        <f aca="false">INDEX($A$23:$A$82,$S$92)</f>
        <v>FONDUR</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2715</v>
      </c>
      <c r="G17" s="541"/>
      <c r="H17" s="540" t="s">
        <v>2715</v>
      </c>
      <c r="I17" s="542"/>
    </row>
    <row r="18" customFormat="false" ht="12.75" hidden="false" customHeight="false" outlineLevel="0" collapsed="false">
      <c r="A18" s="529" t="s">
        <v>78</v>
      </c>
      <c r="B18" s="530" t="s">
        <v>2716</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2626</v>
      </c>
      <c r="G22" s="541"/>
      <c r="H22" s="540" t="s">
        <v>2626</v>
      </c>
      <c r="I22" s="542"/>
    </row>
    <row r="23" customFormat="false" ht="12.75" hidden="false" customHeight="false" outlineLevel="0" collapsed="false">
      <c r="A23" s="529" t="s">
        <v>99</v>
      </c>
      <c r="B23" s="530" t="s">
        <v>2720</v>
      </c>
      <c r="C23" s="532"/>
      <c r="D23" s="533"/>
      <c r="F23" s="540" t="s">
        <v>2721</v>
      </c>
      <c r="G23" s="541"/>
      <c r="H23" s="540" t="s">
        <v>2721</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2684</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2013-02-08T09:50:23Z</dcterms:modified>
  <cp:revision>0</cp:revision>
  <dc:subject/>
  <dc:title>Feuille d'aide au calcul de l'IBMR</dc:title>
</cp:coreProperties>
</file>