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600" sheetId="6" state="visible" r:id="rId8"/>
    <sheet name="modele" sheetId="7" state="hidden" r:id="rId9"/>
    <sheet name="liste codes réf" sheetId="8" state="hidden" r:id="rId10"/>
  </sheets>
  <definedNames>
    <definedName function="false" hidden="false" localSheetId="5" name="_xlnm.Print_Area" vbProcedure="false">'06215600'!$A$1:$O$82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'06215600'!$A$23:$J$84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<sst xmlns="http://schemas.openxmlformats.org/spreadsheetml/2006/main" count="7357" uniqueCount="2732">
  <si>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</si>
  <si>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</si>
  <si>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</si>
  <si>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</si>
  <si>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</si>
  <si>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</si>
  <si>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</si>
  <si>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</si>
  <si>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</si>
  <si>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</si>
  <si>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</si>
  <si>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</si>
  <si>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</si>
  <si>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</si>
  <si>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</si>
  <si>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</si>
  <si>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</si>
  <si>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</si>
  <si>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</si>
  <si>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</si>
  <si>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</si>
  <si>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</si>
  <si>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</si>
  <si>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</si>
  <si>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</si>
  <si>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</si>
  <si>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</si>
  <si>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</si>
  <si>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</si>
  <si>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</si>
  <si>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</si>
  <si>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</si>
  <si>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</si>
  <si>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</si>
  <si>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</si>
  <si>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</si>
  <si>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</si>
  <si>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</si>
  <si>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</si>
  <si>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</si>
  <si>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</si>
  <si>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</si>
  <si>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</si>
  <si>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</si>
  <si>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</si>
  <si>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</si>
  <si>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</si>
  <si>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</si>
  <si>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</si>
  <si>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</si>
  <si>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</si>
  <si>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</si>
  <si>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</si>
  <si>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</si>
  <si>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</si>
  <si>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</si>
  <si>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</si>
  <si>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</si>
  <si>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</si>
  <si>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</si>
  <si>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</si>
  <si>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</si>
  <si>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</si>
  <si>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</si>
  <si>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</si>
  <si>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</si>
  <si>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</si>
  <si>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</si>
  <si>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</si>
  <si>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</si>
  <si>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</si>
  <si>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</si>
  <si>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</si>
  <si>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</si>
  <si>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</si>
  <si>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</si>
  <si>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</si>
  <si>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</si>
  <si>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</si>
  <si>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</si>
  <si>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</si>
  <si>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</si>
  <si>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</si>
  <si>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</si>
  <si>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</si>
  <si>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</si>
  <si>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</si>
  <si>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</si>
  <si>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</si>
  <si>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</si>
  <si>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</si>
  <si>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</si>
  <si>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</si>
  <si>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</si>
  <si>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</si>
  <si>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</si>
  <si>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</si>
  <si>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</si>
  <si>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</si>
  <si>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</si>
  <si>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</si>
  <si>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</si>
  <si>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</si>
  <si>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</si>
  <si>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</si>
  <si>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</si>
  <si>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</si>
  <si>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</si>
  <si>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</si>
  <si>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</si>
  <si>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</si>
  <si>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</si>
  <si>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</si>
  <si>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</si>
  <si>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</si>
  <si>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</si>
  <si>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</si>
  <si>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</si>
  <si>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</si>
  <si>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</si>
  <si>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</si>
  <si>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</si>
  <si>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</si>
  <si>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</si>
  <si>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</si>
  <si>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</si>
  <si>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</si>
  <si>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</si>
  <si>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</si>
  <si>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</si>
  <si>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</si>
  <si>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</si>
  <si>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</si>
  <si>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</si>
  <si>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</si>
  <si>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</si>
  <si>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</si>
  <si>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</si>
  <si>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</si>
  <si>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</si>
  <si>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</si>
  <si>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</si>
  <si>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</si>
  <si>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</si>
  <si>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</si>
  <si>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</si>
  <si>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</si>
  <si>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</si>
  <si>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</si>
  <si>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</si>
  <si>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</si>
  <si>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</si>
  <si>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</si>
  <si>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</si>
  <si>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</si>
  <si>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</si>
  <si>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</si>
  <si>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</si>
  <si>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</si>
  <si>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</si>
  <si>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</si>
  <si>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</si>
  <si>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</si>
  <si>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</si>
  <si>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</si>
  <si>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</si>
  <si>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</si>
  <si>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</si>
  <si>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</si>
  <si>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</si>
  <si>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</si>
  <si>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</si>
  <si>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</si>
  <si>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</si>
  <si>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</si>
  <si>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</si>
  <si>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</si>
  <si>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</si>
  <si>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</si>
  <si>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</si>
  <si>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</si>
  <si>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</si>
  <si>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</si>
  <si>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</si>
  <si>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</si>
  <si>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</si>
  <si>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</si>
  <si>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</si>
  <si>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</si>
  <si>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</si>
  <si>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</si>
  <si>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</si>
  <si>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</si>
  <si>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</si>
  <si>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</si>
  <si>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</si>
  <si>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</si>
  <si>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</si>
  <si>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</si>
  <si>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</si>
  <si>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</si>
  <si>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</si>
  <si>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</si>
  <si>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</si>
  <si>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</si>
  <si>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</si>
  <si>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</si>
  <si>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</si>
  <si>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</si>
  <si>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</si>
  <si>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</si>
  <si>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</si>
  <si>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</si>
  <si>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</si>
  <si>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</si>
  <si>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</si>
  <si>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</si>
  <si>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</si>
  <si>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</si>
  <si>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</si>
  <si>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</si>
  <si>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</si>
  <si>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</si>
  <si>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</si>
  <si>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</si>
  <si>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</si>
  <si>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</si>
  <si>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</si>
  <si>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</si>
  <si>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</si>
  <si>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</si>
  <si>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</si>
  <si>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</si>
  <si>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</si>
  <si>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</si>
  <si>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</si>
  <si>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</si>
  <si>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</si>
  <si>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</si>
  <si>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</si>
  <si>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</si>
  <si>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</si>
  <si>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</si>
  <si>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</si>
  <si>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</si>
  <si>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</si>
  <si>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</si>
  <si>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</si>
  <si>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</si>
  <si>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</si>
  <si>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</si>
  <si>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</si>
  <si>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</si>
  <si>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</si>
  <si>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</si>
  <si>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</si>
  <si>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</si>
  <si>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</si>
  <si>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</si>
  <si>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</si>
  <si>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</si>
  <si>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</si>
  <si>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</si>
  <si>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</si>
  <si>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</si>
  <si>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</si>
  <si>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</si>
  <si>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</si>
  <si>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</si>
  <si>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</si>
  <si>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</si>
  <si>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</si>
  <si>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</si>
  <si>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</si>
  <si>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</si>
  <si>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</si>
  <si>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</si>
  <si>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</si>
  <si>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</si>
  <si>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</si>
  <si>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</si>
  <si>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</si>
  <si>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</si>
  <si>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</si>
  <si>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</si>
  <si>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</si>
  <si>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</si>
  <si>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</si>
  <si>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</si>
  <si>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</si>
  <si>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</si>
  <si>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</si>
  <si>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</si>
  <si>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</si>
  <si>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</si>
  <si>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</si>
  <si>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</si>
  <si>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</si>
  <si>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</si>
  <si>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</si>
  <si>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</si>
  <si>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</si>
  <si>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</si>
  <si>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</si>
  <si>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</si>
  <si>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</si>
  <si>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</si>
  <si>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</si>
  <si>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</si>
  <si>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</si>
  <si>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</si>
  <si>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</si>
  <si>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</si>
  <si>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</si>
  <si>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</si>
  <si>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</si>
  <si>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</si>
  <si>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</si>
  <si>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</si>
  <si>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</si>
  <si>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</si>
  <si>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</si>
  <si>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</si>
  <si>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</si>
  <si>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</si>
  <si>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</si>
  <si>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</si>
  <si>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</si>
  <si>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</si>
  <si>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</si>
  <si>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</si>
  <si>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</si>
  <si>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</si>
  <si>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</si>
  <si>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</si>
  <si>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</si>
  <si>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</si>
  <si>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</si>
  <si>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</si>
  <si>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</si>
  <si>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</si>
  <si>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</si>
  <si>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</si>
  <si>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</si>
  <si>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</si>
  <si>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</si>
  <si>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</si>
  <si>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</si>
  <si>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</si>
  <si>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</si>
  <si>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</si>
  <si>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</si>
  <si>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</si>
  <si>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</si>
  <si>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</si>
  <si>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</si>
  <si>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</si>
  <si>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</si>
  <si>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</si>
  <si>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</si>
  <si>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</si>
  <si>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</si>
  <si>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</si>
  <si>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</si>
  <si>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</si>
  <si>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</si>
  <si>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</si>
  <si>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</si>
  <si>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</si>
  <si>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</si>
  <si>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</si>
  <si>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</si>
  <si>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</si>
  <si>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</si>
  <si>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</si>
  <si>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</si>
  <si>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</si>
  <si>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</si>
  <si>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</si>
  <si>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</si>
  <si>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</si>
  <si>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</si>
  <si>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</si>
  <si>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</si>
  <si>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</si>
  <si>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</si>
  <si>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</si>
  <si>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</si>
  <si>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</si>
  <si>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</si>
  <si>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</si>
  <si>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</si>
  <si>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</si>
  <si>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</si>
  <si>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</si>
  <si>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</si>
  <si>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</si>
  <si>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</si>
  <si>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</si>
  <si>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</si>
  <si>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</si>
  <si>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</si>
  <si>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</si>
  <si>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</si>
  <si>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</si>
  <si>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</si>
  <si>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</si>
  <si>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</si>
  <si>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</si>
  <si>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</si>
  <si>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</si>
  <si>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</si>
  <si>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</si>
  <si>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</si>
  <si>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</si>
  <si>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</si>
  <si>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</si>
  <si>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</si>
  <si>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</si>
  <si>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</si>
  <si>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</si>
  <si>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</si>
  <si>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</si>
  <si>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</si>
  <si>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</si>
  <si>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</si>
  <si>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</si>
  <si>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</si>
  <si>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</si>
  <si>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</si>
  <si>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</si>
  <si>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</si>
  <si>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</si>
  <si>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</si>
  <si>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</si>
  <si>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</si>
  <si>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</si>
  <si>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</si>
  <si>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</si>
  <si>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</si>
  <si>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</si>
  <si>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</si>
  <si>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</si>
  <si>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</si>
  <si>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</si>
  <si>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</si>
  <si>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</si>
  <si>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</si>
  <si>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</si>
  <si>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</si>
  <si>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</si>
  <si>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</si>
  <si>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</si>
  <si>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</si>
  <si>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</si>
  <si>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</si>
  <si>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</si>
  <si>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</si>
  <si>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</si>
  <si>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</si>
  <si>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</si>
  <si>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</si>
  <si>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</si>
  <si>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</si>
  <si>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</si>
  <si>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</si>
  <si>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</si>
  <si>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</si>
  <si>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</si>
  <si>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</si>
  <si>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</si>
  <si>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</si>
  <si>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</si>
  <si>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</si>
  <si>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</si>
  <si>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</si>
  <si>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</si>
  <si>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</si>
  <si>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</si>
  <si>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</si>
  <si>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</si>
  <si>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</si>
  <si>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</si>
  <si>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</si>
  <si>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</si>
  <si>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</si>
  <si>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</si>
  <si>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</si>
  <si>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</si>
  <si>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</si>
  <si>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</si>
  <si>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</si>
  <si>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</si>
  <si>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</si>
  <si>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</si>
  <si>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</si>
  <si>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</si>
  <si>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</si>
  <si>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</si>
  <si>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</si>
  <si>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</si>
  <si>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</si>
  <si>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</si>
  <si>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</si>
  <si>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</si>
  <si>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</si>
  <si>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</si>
  <si>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</si>
  <si>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</si>
  <si>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</si>
  <si>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</si>
  <si>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</si>
  <si>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</si>
  <si>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</si>
  <si>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</si>
  <si>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</si>
  <si>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</si>
  <si>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</si>
  <si>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</si>
  <si>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</si>
  <si>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</si>
  <si>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</si>
  <si>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</si>
  <si>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</si>
  <si>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</si>
  <si>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</si>
  <si>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</si>
  <si>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</si>
  <si>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</si>
  <si>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</si>
  <si>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</si>
  <si>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</si>
  <si>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</si>
  <si>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</si>
  <si>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</si>
  <si>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</si>
  <si>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</si>
  <si>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</si>
  <si>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</si>
  <si>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</si>
  <si>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</si>
  <si>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</si>
  <si>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</si>
  <si>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</si>
  <si>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</si>
  <si>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</si>
  <si>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</si>
  <si>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</si>
  <si>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</si>
  <si>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</si>
  <si>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</si>
  <si>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</si>
  <si>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</si>
  <si>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</si>
  <si>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</si>
  <si>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</si>
  <si>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</si>
  <si>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</si>
  <si>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</si>
  <si>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</si>
  <si>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</si>
  <si>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</si>
  <si>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</si>
  <si>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</si>
  <si>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</si>
  <si>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</si>
  <si>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</si>
  <si>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</si>
  <si>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</si>
  <si>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</si>
  <si>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</si>
  <si>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</si>
  <si>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</si>
  <si>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</si>
  <si>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</si>
  <si>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</si>
  <si>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</si>
  <si>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</si>
  <si>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</si>
  <si>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</si>
  <si>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</si>
  <si>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</si>
  <si>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</si>
  <si>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</si>
  <si>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</si>
  <si>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</si>
  <si>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</si>
  <si>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</si>
  <si>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</si>
  <si>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</si>
  <si>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</si>
  <si>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</si>
  <si>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</si>
  <si>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</si>
  <si>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</si>
  <si>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</si>
  <si>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</si>
  <si>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</si>
  <si>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</si>
  <si>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</si>
  <si>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</si>
  <si>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</si>
  <si>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</si>
  <si>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</si>
  <si>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</si>
  <si>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</si>
  <si>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</si>
  <si>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</si>
  <si>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</si>
  <si>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</si>
  <si>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</si>
  <si>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</si>
  <si>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</si>
  <si>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</si>
  <si>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</si>
  <si>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</si>
  <si>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</si>
  <si>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</si>
  <si>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</si>
  <si>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</si>
  <si>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</si>
  <si>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</si>
  <si>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</si>
  <si>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</si>
  <si>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</si>
  <si>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</si>
  <si>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</si>
  <si>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</si>
  <si>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</si>
  <si>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</si>
  <si>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</si>
  <si>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</si>
  <si>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</si>
  <si>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</si>
  <si>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</si>
  <si>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</si>
  <si>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</si>
  <si>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</si>
  <si>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</si>
  <si>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</si>
  <si>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</si>
  <si>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</si>
  <si>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</si>
  <si>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</si>
  <si>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</si>
  <si>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</si>
  <si>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</si>
  <si>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</si>
  <si>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</si>
  <si>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</si>
  <si>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</si>
  <si>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</si>
  <si>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</si>
  <si>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</si>
  <si>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</si>
  <si>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</si>
  <si>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</si>
  <si>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</si>
  <si>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</si>
  <si>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</si>
  <si>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</si>
  <si>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</si>
  <si>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</si>
  <si>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</si>
  <si>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</si>
  <si>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</si>
  <si>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</si>
  <si>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</si>
  <si>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</si>
  <si>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</si>
  <si>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</si>
  <si>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</si>
  <si>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</si>
  <si>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</si>
  <si>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</si>
  <si>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</si>
  <si>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</si>
  <si>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</si>
  <si>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</si>
  <si>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</si>
  <si>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</si>
  <si>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</si>
  <si>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</si>
  <si>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</si>
  <si>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</si>
  <si>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</si>
  <si>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</si>
  <si>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</si>
  <si>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</si>
  <si>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</si>
  <si>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</si>
  <si>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</si>
  <si>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</si>
  <si>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</si>
  <si>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</si>
  <si>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</si>
  <si>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</si>
  <si>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</si>
  <si>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</si>
  <si>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</si>
  <si>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</si>
  <si>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</si>
  <si>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</si>
  <si>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</si>
  <si>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</si>
  <si>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</si>
  <si>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</si>
  <si>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</si>
  <si>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</si>
  <si>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</si>
  <si>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</si>
  <si>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</si>
  <si>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</si>
  <si>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</si>
  <si>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</si>
  <si>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</si>
  <si>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</si>
  <si>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</si>
  <si>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</si>
  <si>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</si>
  <si>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</si>
  <si>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</si>
  <si>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</si>
  <si>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</si>
  <si>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</si>
  <si>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</si>
  <si>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</si>
  <si>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</si>
  <si>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</si>
  <si>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</si>
  <si>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</si>
  <si>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</si>
  <si>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</si>
  <si>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</si>
  <si>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</si>
  <si>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</si>
  <si>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</si>
  <si>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</si>
  <si>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</si>
  <si>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</si>
  <si>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</si>
  <si>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</si>
  <si>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</si>
  <si>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</si>
  <si>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</si>
  <si>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</si>
  <si>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</si>
  <si>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</si>
  <si>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</si>
  <si>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</si>
  <si>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</si>
  <si>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</si>
  <si>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</si>
  <si>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</si>
  <si>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</si>
  <si>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</si>
  <si>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</si>
  <si>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</si>
  <si>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</si>
  <si>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</si>
  <si>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</si>
  <si>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</si>
  <si>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</si>
  <si>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</si>
  <si>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</si>
  <si>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</si>
  <si>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</si>
  <si>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</si>
  <si>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</si>
  <si>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</si>
  <si>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</si>
  <si>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</si>
  <si>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</si>
  <si>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</si>
  <si>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</si>
  <si>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</si>
  <si>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</si>
  <si>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</si>
  <si>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</si>
  <si>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</si>
  <si>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</si>
  <si>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</si>
  <si>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</si>
  <si>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</si>
  <si>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</si>
  <si>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</si>
  <si>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</si>
  <si>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</si>
  <si>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</si>
  <si>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</si>
  <si>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</si>
  <si>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</si>
  <si>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</si>
  <si>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</si>
  <si>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</si>
  <si>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</si>
  <si>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</si>
  <si>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</si>
  <si>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</si>
  <si>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</si>
  <si>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</si>
  <si>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</si>
  <si>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</si>
  <si>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</si>
  <si>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</si>
  <si>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</si>
  <si>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</si>
  <si>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</si>
  <si>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</si>
  <si>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</si>
  <si>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</si>
  <si>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</si>
  <si>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</si>
  <si>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</si>
  <si>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</si>
  <si>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</si>
  <si>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</si>
  <si>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</si>
  <si>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</si>
  <si>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</si>
  <si>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</si>
  <si>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</si>
  <si>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</si>
  <si>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</si>
  <si>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</si>
  <si>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</si>
  <si>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</si>
  <si>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</si>
  <si>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</si>
  <si>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</si>
  <si>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</si>
  <si>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</si>
  <si>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</si>
  <si>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</si>
  <si>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</si>
  <si>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</si>
  <si>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</si>
  <si>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</si>
  <si>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</si>
  <si>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</si>
  <si>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</si>
  <si>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</si>
  <si>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</si>
  <si>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</si>
  <si>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</si>
  <si>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</si>
  <si>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</si>
  <si>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</si>
  <si>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</si>
  <si>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</si>
  <si>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</si>
  <si>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</si>
  <si>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</si>
  <si>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</si>
  <si>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</si>
  <si>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</si>
  <si>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</si>
  <si>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</si>
  <si>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</si>
  <si>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</si>
  <si>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</si>
  <si>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</si>
  <si>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</si>
  <si>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</si>
  <si>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</si>
  <si>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</si>
  <si>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</si>
  <si>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</si>
  <si>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</si>
  <si>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</si>
  <si>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</si>
  <si>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</si>
  <si>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</si>
  <si>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</si>
  <si>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</si>
  <si>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</si>
  <si>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</si>
  <si>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</si>
  <si>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</si>
  <si>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</si>
  <si>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</si>
  <si>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</si>
  <si>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</si>
  <si>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</si>
  <si>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</si>
  <si>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</si>
  <si>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</si>
  <si>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</si>
  <si>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</si>
  <si>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</si>
  <si>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</si>
  <si>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</si>
  <si>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</si>
  <si>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</si>
  <si>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</si>
  <si>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</si>
  <si>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</si>
  <si>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</si>
  <si>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</si>
  <si>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</si>
  <si>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</si>
  <si>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</si>
  <si>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</si>
  <si>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</si>
  <si>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</si>
  <si>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</si>
  <si>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</si>
  <si>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</si>
  <si>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</si>
  <si>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</si>
  <si>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</si>
  <si>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</si>
  <si>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</si>
  <si>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</si>
  <si>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</si>
  <si>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</si>
  <si>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</si>
  <si>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</si>
  <si>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</si>
  <si>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</si>
  <si>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</si>
  <si>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</si>
  <si>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</si>
  <si>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</si>
  <si>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</si>
  <si>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</si>
  <si>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</si>
  <si>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</si>
  <si>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</si>
  <si>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</si>
  <si>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</si>
  <si>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</si>
  <si>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</si>
  <si>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</si>
  <si>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</si>
  <si>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</si>
  <si>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</si>
  <si>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</si>
  <si>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</si>
  <si>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</si>
  <si>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</si>
  <si>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</si>
  <si>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</si>
  <si>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</si>
  <si>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</si>
  <si>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</si>
  <si>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</si>
  <si>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</si>
  <si>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</si>
  <si>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</si>
  <si>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</si>
  <si>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</si>
  <si>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</si>
  <si>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</si>
  <si>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</si>
  <si>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</si>
  <si>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</si>
  <si>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</si>
  <si>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</si>
  <si>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</si>
  <si>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</si>
  <si>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</si>
  <si>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</si>
  <si>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</si>
  <si>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</si>
  <si>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</si>
  <si>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</si>
  <si>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</si>
  <si>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</si>
  <si>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</si>
  <si>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</si>
  <si>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</si>
  <si>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</si>
  <si>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</si>
  <si>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</si>
  <si>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</si>
  <si>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</si>
  <si>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</si>
  <si>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</si>
  <si>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</si>
  <si>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</si>
  <si>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</si>
  <si>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</si>
  <si>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</si>
  <si>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</si>
  <si>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</si>
  <si>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</si>
  <si>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</si>
  <si>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</si>
  <si>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</si>
  <si>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</si>
  <si>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</si>
  <si>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</si>
  <si>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</si>
  <si>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</si>
  <si>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</si>
  <si>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</si>
  <si>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</si>
  <si>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</si>
  <si>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</si>
  <si>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</si>
  <si>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</si>
  <si>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</si>
  <si>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</si>
  <si>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</si>
  <si>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</si>
  <si>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</si>
  <si>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</si>
  <si>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</si>
  <si>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</si>
  <si>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</si>
  <si>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</si>
  <si>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</si>
  <si>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</si>
  <si>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</si>
  <si>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</si>
  <si>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</si>
  <si>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</si>
  <si>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</si>
  <si>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</si>
  <si>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</si>
  <si>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</si>
  <si>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</si>
  <si>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</si>
  <si>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</si>
  <si>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</si>
  <si>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</si>
  <si>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</si>
  <si>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</si>
  <si>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</si>
  <si>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</si>
  <si>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</si>
  <si>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</si>
  <si>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</si>
  <si>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</si>
  <si>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</si>
  <si>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</si>
  <si>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</si>
  <si>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</si>
  <si>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</si>
  <si>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</si>
  <si>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</si>
  <si>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</si>
  <si>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</si>
  <si>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</si>
  <si>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</si>
  <si>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</si>
  <si>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</si>
  <si>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</si>
  <si>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</si>
  <si>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</si>
  <si>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</si>
  <si>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</si>
  <si>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</si>
  <si>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</si>
  <si>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</si>
  <si>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</si>
  <si>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</si>
  <si>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</si>
  <si>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</si>
  <si>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</si>
  <si>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</si>
  <si>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</si>
  <si>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</si>
  <si>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</si>
  <si>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</si>
  <si>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</si>
  <si>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</si>
  <si>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</si>
  <si>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</si>
  <si>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</si>
  <si>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</si>
  <si>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</si>
  <si>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</si>
  <si>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</si>
  <si>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</si>
  <si>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</si>
  <si>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</si>
  <si>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</si>
  <si>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</si>
  <si>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</si>
  <si>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</si>
  <si>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</si>
  <si>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</si>
  <si>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</si>
  <si>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</si>
  <si>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</si>
  <si>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</si>
  <si>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</si>
  <si>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</si>
  <si>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</si>
  <si>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</si>
  <si>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</si>
  <si>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</si>
  <si>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</si>
  <si>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</si>
  <si>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</si>
  <si>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</si>
  <si>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</si>
  <si>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</si>
  <si>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</si>
  <si>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</si>
  <si>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</si>
  <si>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</si>
  <si>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</si>
  <si>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</si>
  <si>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</si>
  <si>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</si>
  <si>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</si>
  <si>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</si>
  <si>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</si>
  <si>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</si>
  <si>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</si>
  <si>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</si>
  <si>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</si>
  <si>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</si>
  <si>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</si>
  <si>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</si>
  <si>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</si>
  <si>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</si>
  <si>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</si>
  <si>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</si>
  <si>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</si>
  <si>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</si>
  <si>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</si>
  <si>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</si>
  <si>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</si>
  <si>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</si>
  <si>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</si>
  <si>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</si>
  <si>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</si>
  <si>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</si>
  <si>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</si>
  <si>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</si>
  <si>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</si>
  <si>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</si>
  <si>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</si>
  <si>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</si>
  <si>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</si>
  <si>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</si>
  <si>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</si>
  <si>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</si>
  <si>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</si>
  <si>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</si>
  <si>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</si>
  <si>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</si>
  <si>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</si>
  <si>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</si>
  <si>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</si>
  <si>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</si>
  <si>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</si>
  <si>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</si>
  <si>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</si>
  <si>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</si>
  <si>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</si>
  <si>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</si>
  <si>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</si>
  <si>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</si>
  <si>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</si>
  <si>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</si>
  <si>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</si>
  <si>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</si>
  <si>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</si>
  <si>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</si>
  <si>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</si>
  <si>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</si>
  <si>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</si>
  <si>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</si>
  <si>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</si>
  <si>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</si>
  <si>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</si>
  <si>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</si>
  <si>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</si>
  <si>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</si>
  <si>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</si>
  <si>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</si>
  <si>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</si>
  <si>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</si>
  <si>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</si>
  <si>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</si>
  <si>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</si>
  <si>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</si>
  <si>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</si>
  <si>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</si>
  <si>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</si>
  <si>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</si>
  <si>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</si>
  <si>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</si>
  <si>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</si>
  <si>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</si>
  <si>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</si>
  <si>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</si>
  <si>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</si>
  <si>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</si>
  <si>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</si>
  <si>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</si>
  <si>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</si>
  <si>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</si>
  <si>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</si>
  <si>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</si>
  <si>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</si>
  <si>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</si>
  <si>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</si>
  <si>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</si>
  <si>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</si>
  <si>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</si>
  <si>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</si>
  <si>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</si>
  <si>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</si>
  <si>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</si>
  <si>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</si>
  <si>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</si>
  <si>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</si>
  <si>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</si>
  <si>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</si>
  <si>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</si>
  <si>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</si>
  <si>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</si>
  <si>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</si>
  <si>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</si>
  <si>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</si>
  <si>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</si>
  <si>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</si>
  <si>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</si>
  <si>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</si>
  <si>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</si>
  <si>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</si>
  <si>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</si>
  <si>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</si>
  <si>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</si>
  <si>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</si>
  <si>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</si>
  <si>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</si>
  <si>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</si>
  <si>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</si>
  <si>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</si>
  <si>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</si>
  <si>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</si>
  <si>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</si>
  <si>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</si>
  <si>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</si>
  <si>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</si>
  <si>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</si>
  <si>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</si>
  <si>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</si>
  <si>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</si>
  <si>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</si>
  <si>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</si>
  <si>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</si>
  <si>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</si>
  <si>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</si>
  <si>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</si>
  <si>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</si>
  <si>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</si>
  <si>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</si>
  <si>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</si>
  <si>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</si>
  <si>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</si>
  <si>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</si>
  <si>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</si>
  <si>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</si>
  <si>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</si>
  <si>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</si>
  <si>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</si>
  <si>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</si>
  <si>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</si>
  <si>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</si>
  <si>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</si>
  <si>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</si>
  <si>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</si>
  <si>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</si>
  <si>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</si>
  <si>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</si>
  <si>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</si>
  <si>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</si>
  <si>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</si>
  <si>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</si>
  <si>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</si>
  <si>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</si>
  <si>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</si>
  <si>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</si>
  <si>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</si>
  <si>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</si>
  <si>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</si>
  <si>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</si>
  <si>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</si>
  <si>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</si>
  <si>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</si>
  <si>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</si>
  <si>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</si>
  <si>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</si>
  <si>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</si>
  <si>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</si>
  <si>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</si>
  <si>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</si>
  <si>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</si>
  <si>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</si>
  <si>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</si>
  <si>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</si>
  <si>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</si>
  <si>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</si>
  <si>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</si>
  <si>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</si>
  <si>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</si>
  <si>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</si>
  <si>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</si>
  <si>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</si>
  <si>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</si>
  <si>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</si>
  <si>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</si>
  <si>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</si>
  <si>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</si>
  <si>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</si>
  <si>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</si>
  <si>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</si>
  <si>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</si>
  <si>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</si>
  <si>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</si>
  <si>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</si>
  <si>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</si>
  <si>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</si>
  <si>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</si>
  <si>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</si>
  <si>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</si>
  <si>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</si>
  <si>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</si>
  <si>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</si>
  <si>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</si>
  <si>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</si>
  <si>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</si>
  <si>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</si>
  <si>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</si>
  <si>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</si>
  <si>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</si>
  <si>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</si>
  <si>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</si>
  <si>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</si>
  <si>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</si>
  <si>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</si>
  <si>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</si>
  <si>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</si>
  <si>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</si>
  <si>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</si>
  <si>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</si>
  <si>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</si>
  <si>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</si>
  <si>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</si>
  <si>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</si>
  <si>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</si>
  <si>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</si>
  <si>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</si>
  <si>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</si>
  <si>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</si>
  <si>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</si>
  <si>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</si>
  <si>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</si>
  <si>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</si>
  <si>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</si>
  <si>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</si>
  <si>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</si>
  <si>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</si>
  <si>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</si>
  <si>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</si>
  <si>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</si>
  <si>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</si>
  <si>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</si>
  <si>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</si>
  <si>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</si>
  <si>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</si>
  <si>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</si>
  <si>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</si>
  <si>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</si>
  <si>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</si>
  <si>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</si>
  <si>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</si>
  <si>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</si>
  <si>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</si>
  <si>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</si>
  <si>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</si>
  <si>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</si>
  <si>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</si>
  <si>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</si>
  <si>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</si>
  <si>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</si>
  <si>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</si>
  <si>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</si>
  <si>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</si>
  <si>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</si>
  <si>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</si>
  <si>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</si>
  <si>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</si>
  <si>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</si>
  <si>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</si>
  <si>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</si>
  <si>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</si>
  <si>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</si>
  <si>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</si>
  <si>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</si>
  <si>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</si>
  <si>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</si>
  <si>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</si>
  <si>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</si>
  <si>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</si>
  <si>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</si>
  <si>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</si>
  <si>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</si>
  <si>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</si>
  <si>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</si>
  <si>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</si>
  <si>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</si>
  <si>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</si>
  <si>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</si>
  <si>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</si>
  <si>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</si>
  <si>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</si>
  <si>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</si>
  <si>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</si>
  <si>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</si>
  <si>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</si>
  <si>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</si>
  <si>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</si>
  <si>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</si>
  <si>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</si>
  <si>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</si>
  <si>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</si>
  <si>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</si>
  <si>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</si>
  <si>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</si>
  <si>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</si>
  <si>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</si>
  <si>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</si>
  <si>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</si>
  <si>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</si>
  <si>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</si>
  <si>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</si>
  <si>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</si>
  <si>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</si>
  <si>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</si>
  <si>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</si>
  <si>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</si>
  <si>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</si>
  <si>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</si>
  <si>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</si>
  <si>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</si>
  <si>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</si>
  <si>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</si>
  <si>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</si>
  <si>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</si>
  <si>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</si>
  <si>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</si>
  <si>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</si>
  <si>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</si>
  <si>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</si>
  <si>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</si>
  <si>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</si>
  <si>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</si>
  <si>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</si>
  <si>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</si>
  <si>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</si>
  <si>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</si>
  <si>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</si>
  <si>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</si>
  <si>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</si>
  <si>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</si>
  <si>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</si>
  <si>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</si>
  <si>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</si>
  <si>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</si>
  <si>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</si>
  <si>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</si>
  <si>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</si>
  <si>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</si>
  <si>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</si>
  <si>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</si>
  <si>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</si>
  <si>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</si>
  <si>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</si>
  <si>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</si>
  <si>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</si>
  <si>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</si>
  <si>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</si>
  <si>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</si>
  <si>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</si>
  <si>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</si>
  <si>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</si>
  <si>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</si>
  <si>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</si>
  <si>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</si>
  <si>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</si>
  <si>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</si>
  <si>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</si>
  <si>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</si>
  <si>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</si>
  <si>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</si>
  <si>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</si>
  <si>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</si>
  <si>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</si>
  <si>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</si>
  <si>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</si>
  <si>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</si>
  <si>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</si>
  <si>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</si>
  <si>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</si>
  <si>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</si>
  <si>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</si>
  <si>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</si>
  <si>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</si>
  <si>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</si>
  <si>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</si>
  <si>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</si>
  <si>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</si>
  <si>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</si>
  <si>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</si>
  <si>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</si>
  <si>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</si>
  <si>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</si>
  <si>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</si>
  <si>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</si>
  <si>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</si>
  <si>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</si>
  <si>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</si>
  <si>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</si>
  <si>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</si>
  <si>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</si>
  <si>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</si>
  <si>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</si>
  <si>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</si>
  <si>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</si>
  <si>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</si>
  <si>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</si>
  <si>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</si>
  <si>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</si>
  <si>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</si>
  <si>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</si>
  <si>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</si>
  <si>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</si>
  <si>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</si>
  <si>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</si>
  <si>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</si>
  <si>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</si>
  <si>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</si>
  <si>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</si>
  <si>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</si>
  <si>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</si>
  <si>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</si>
  <si>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</si>
  <si>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</si>
  <si>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</si>
  <si>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</si>
  <si>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</si>
  <si>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</si>
  <si>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</si>
  <si>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</si>
  <si>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</si>
  <si>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</si>
  <si>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</si>
  <si>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</si>
  <si>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</si>
  <si>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</si>
  <si>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</si>
  <si>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</si>
  <si>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</si>
  <si>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</si>
  <si>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</si>
  <si>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</si>
  <si>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</si>
  <si>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</si>
  <si>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</si>
  <si>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</si>
  <si>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</si>
  <si>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</si>
  <si>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</si>
  <si>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</si>
  <si>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</si>
  <si>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</si>
  <si>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</si>
  <si>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</si>
  <si>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</si>
  <si>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</si>
  <si>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</si>
  <si>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</si>
  <si>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</si>
  <si>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</si>
  <si>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</si>
  <si>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</si>
  <si>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</si>
  <si>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</si>
  <si>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</si>
  <si>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</si>
  <si>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</si>
  <si>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</si>
  <si>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</si>
  <si>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</si>
  <si>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</si>
  <si>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</si>
  <si>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</si>
  <si>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</si>
  <si>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</si>
  <si>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</si>
  <si>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</si>
  <si>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</si>
  <si>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</si>
  <si>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</si>
  <si>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</si>
  <si>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</si>
  <si>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</si>
  <si>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</si>
  <si>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</si>
  <si>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</si>
  <si>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</si>
  <si>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</si>
  <si>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</si>
  <si>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</si>
  <si>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</si>
  <si>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</si>
  <si>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</si>
  <si>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</si>
  <si>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</si>
  <si>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</si>
  <si>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</si>
  <si>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</si>
  <si>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</si>
  <si>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</si>
  <si>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</si>
  <si>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</si>
  <si>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</si>
  <si>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</si>
  <si>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</si>
  <si>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</si>
  <si>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</si>
  <si>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</si>
  <si>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</si>
  <si>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</si>
  <si>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</si>
  <si>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</si>
  <si>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</si>
  <si>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</si>
  <si>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</si>
  <si>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</si>
  <si>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</si>
  <si>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</si>
  <si>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</si>
  <si>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</si>
  <si>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</si>
  <si>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</si>
  <si>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</si>
  <si>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</si>
  <si>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</si>
  <si>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</si>
  <si>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</si>
  <si>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</si>
  <si>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</si>
  <si>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</si>
  <si>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</si>
  <si>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</si>
  <si>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</si>
  <si>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</si>
  <si>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</si>
  <si>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</si>
  <si>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</si>
  <si>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</si>
  <si>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</si>
  <si>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</si>
  <si>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</si>
  <si>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</si>
  <si>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</si>
  <si>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</si>
  <si>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</si>
  <si>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</si>
  <si>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</si>
  <si>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</si>
  <si>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</si>
  <si>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</si>
  <si>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</si>
  <si>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</si>
  <si>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</si>
  <si>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</si>
  <si>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</si>
  <si>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</si>
  <si>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</si>
  <si>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</si>
  <si>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</si>
  <si>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</si>
  <si>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</si>
  <si>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</si>
  <si>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</si>
  <si>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</si>
  <si>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</si>
  <si>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</si>
  <si>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</si>
  <si>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</si>
  <si>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</si>
  <si>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</si>
  <si>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</si>
  <si>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</si>
  <si>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</si>
  <si>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</si>
  <si>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</si>
  <si>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</si>
  <si>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</si>
  <si>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</si>
  <si>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</si>
  <si>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</si>
  <si>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</si>
  <si>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</si>
  <si>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</si>
  <si>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</si>
  <si>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</si>
  <si>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</si>
  <si>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</si>
  <si>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</si>
  <si>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</si>
  <si>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</si>
  <si>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</si>
  <si>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</si>
  <si>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</si>
  <si>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</si>
  <si>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</si>
  <si>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</si>
  <si>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</si>
  <si>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</si>
  <si>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</si>
  <si>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</si>
  <si>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</si>
  <si>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</si>
  <si>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</si>
  <si>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</si>
  <si>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</si>
  <si>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</si>
  <si>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</si>
  <si>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</si>
  <si>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</si>
  <si>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</si>
  <si>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</si>
  <si>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</si>
  <si>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</si>
  <si>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</si>
  <si>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</si>
  <si>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</si>
  <si>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</si>
  <si>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</si>
  <si>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</si>
  <si>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</si>
  <si>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</si>
  <si>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</si>
  <si>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</si>
  <si>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</si>
  <si>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</si>
  <si>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</si>
  <si>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</si>
  <si>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</si>
  <si>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</si>
  <si>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</si>
  <si>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</si>
  <si>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</si>
  <si>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</si>
  <si>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</si>
  <si>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</si>
  <si>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</si>
  <si>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</si>
  <si>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</si>
  <si>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</si>
  <si>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</si>
  <si>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</si>
  <si>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</si>
  <si>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</si>
  <si>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</si>
  <si>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</si>
  <si>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</si>
  <si>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</si>
  <si>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</si>
  <si>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</si>
  <si>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</si>
  <si>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</si>
  <si>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</si>
  <si>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</si>
  <si>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</si>
  <si>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</si>
  <si>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</si>
  <si>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</si>
  <si>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</si>
  <si>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</si>
  <si>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</si>
  <si>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</si>
  <si>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</si>
  <si>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</si>
  <si>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</si>
  <si>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</si>
  <si>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</si>
  <si>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</si>
  <si>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</si>
  <si>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</si>
  <si>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</si>
  <si>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</si>
  <si>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</si>
  <si>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</si>
  <si>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</si>
  <si>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</si>
  <si>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</si>
  <si>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</si>
  <si>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</si>
  <si>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</si>
  <si>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</si>
  <si>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</si>
  <si>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</si>
  <si>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</si>
  <si>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</si>
  <si>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</si>
  <si>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</si>
  <si>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</si>
  <si>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</si>
  <si>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</si>
  <si>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</si>
  <si>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</si>
  <si>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</si>
  <si>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</si>
  <si>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</si>
  <si>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</si>
  <si>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</si>
  <si>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</si>
  <si>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</si>
  <si>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</si>
  <si>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</si>
  <si>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</si>
  <si>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</si>
  <si>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</si>
  <si>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</si>
  <si>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</si>
  <si>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</si>
  <si>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</si>
  <si>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</si>
  <si>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</si>
  <si>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</si>
  <si>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</si>
  <si>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</si>
  <si>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</si>
  <si>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</si>
  <si>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</si>
  <si>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</si>
  <si>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</si>
  <si>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</si>
  <si>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</si>
  <si>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</si>
  <si>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</si>
  <si>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</si>
  <si>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</si>
  <si>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</si>
  <si>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</si>
  <si>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</si>
  <si>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</si>
  <si>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</si>
  <si>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</si>
  <si>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</si>
  <si>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</si>
  <si>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</si>
  <si>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</si>
  <si>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</si>
  <si>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</si>
  <si>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</si>
  <si>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</si>
  <si>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</si>
  <si>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</si>
  <si>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</si>
  <si>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</si>
  <si>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</si>
  <si>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</si>
  <si>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</si>
  <si>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</si>
  <si>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</si>
  <si>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</si>
  <si>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</si>
  <si>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</si>
  <si>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</si>
  <si>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</si>
  <si>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</si>
  <si>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</si>
  <si>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</si>
  <si>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</si>
  <si>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</si>
  <si>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</si>
  <si>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</si>
  <si>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</si>
  <si>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</si>
  <si>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</si>
  <si>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</si>
  <si>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</si>
  <si>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</si>
  <si>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</si>
  <si>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</si>
  <si>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</si>
  <si>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</si>
  <si>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</si>
  <si>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</si>
  <si>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</si>
  <si>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</si>
  <si>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</si>
  <si>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</si>
  <si>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</si>
  <si>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</si>
  <si>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</si>
  <si>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</si>
  <si>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</si>
  <si>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</si>
  <si>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</si>
  <si>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</si>
  <si>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</si>
  <si>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</si>
  <si>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</si>
  <si>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</si>
  <si>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</si>
  <si>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</si>
  <si>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</si>
  <si>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</si>
  <si>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</si>
  <si>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</si>
  <si>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</si>
  <si>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</si>
  <si>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</si>
  <si>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</si>
  <si>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</si>
  <si>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</si>
  <si>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</si>
  <si>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</si>
  <si>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</si>
  <si>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</si>
  <si>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</si>
  <si>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</si>
  <si>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</si>
  <si>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</si>
  <si>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</si>
  <si>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</si>
  <si>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</si>
  <si>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</si>
  <si>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</si>
  <si>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</si>
  <si>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</si>
  <si>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</si>
  <si>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</si>
  <si>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</si>
  <si>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</si>
  <si>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</si>
  <si>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</si>
  <si>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</si>
  <si>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</si>
  <si>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</si>
  <si>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</si>
  <si>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</si>
  <si>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</si>
  <si>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</si>
  <si>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</si>
  <si>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</si>
  <si>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</si>
  <si>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</si>
  <si>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</si>
  <si>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</si>
  <si>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</si>
  <si>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</si>
  <si>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</si>
  <si>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</si>
  <si>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</si>
  <si>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</si>
  <si>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</si>
  <si>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</si>
  <si>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</si>
  <si>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</si>
  <si>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</si>
  <si>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</si>
  <si>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</si>
  <si>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</si>
  <si>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</si>
  <si>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</si>
  <si>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</si>
  <si>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</si>
  <si>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</si>
  <si>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</si>
  <si>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</si>
  <si>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</si>
  <si>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</si>
  <si>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</si>
  <si>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</si>
  <si>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</si>
  <si>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</si>
  <si>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</si>
  <si>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</si>
  <si>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</si>
  <si>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</si>
  <si>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</si>
  <si>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</si>
  <si>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</si>
  <si>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</si>
  <si>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</si>
  <si>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</si>
  <si>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</si>
  <si>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</si>
  <si>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</si>
  <si>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</si>
  <si>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</si>
  <si>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</si>
  <si>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</si>
  <si>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</si>
  <si>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</si>
  <si>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</si>
  <si>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</si>
  <si>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</si>
  <si>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</si>
  <si>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</si>
  <si>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</si>
  <si>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</si>
  <si>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</si>
  <si>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</si>
  <si>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</si>
  <si>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</si>
  <si>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</si>
  <si>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</si>
  <si>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</si>
  <si>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</si>
  <si>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</si>
  <si>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</si>
  <si>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</si>
  <si>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</si>
  <si>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</si>
  <si>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</si>
  <si>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</si>
  <si>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</si>
  <si>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</si>
  <si>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</si>
  <si>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</si>
  <si>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</si>
  <si>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</si>
  <si>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</si>
  <si>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</si>
  <si>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</si>
  <si>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</si>
  <si>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</si>
  <si>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</si>
  <si>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</si>
  <si>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</si>
  <si>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</si>
  <si>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</si>
  <si>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</si>
  <si>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</si>
  <si>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</si>
  <si>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</si>
  <si>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</si>
  <si>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</si>
  <si>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</si>
  <si>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</si>
  <si>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</si>
  <si>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</si>
  <si>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</si>
  <si>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</si>
  <si>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</si>
  <si>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</si>
  <si>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</si>
  <si>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</si>
  <si>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</si>
  <si>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</si>
  <si>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</si>
  <si>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</si>
  <si>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</si>
  <si>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</si>
  <si>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</si>
  <si>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</si>
  <si>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</si>
  <si>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</si>
  <si>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</si>
  <si>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</si>
  <si>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</si>
  <si>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</si>
  <si>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</si>
  <si>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</si>
  <si>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</si>
  <si>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</si>
  <si>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</si>
  <si>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</si>
  <si>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</si>
  <si>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</si>
  <si>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</si>
  <si>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</si>
  <si>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</si>
  <si>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</si>
  <si>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</si>
  <si>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</si>
  <si>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</si>
  <si>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</si>
  <si>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</si>
  <si>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</si>
  <si>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</si>
  <si>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</si>
  <si>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</si>
  <si>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</si>
  <si>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</si>
  <si>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</si>
  <si>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</si>
  <si>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</si>
  <si>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</si>
  <si>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</si>
  <si>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</si>
  <si>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</si>
  <si>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</si>
  <si>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</si>
  <si>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</si>
  <si>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</si>
  <si>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</si>
  <si>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</si>
  <si>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</si>
  <si>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</si>
  <si>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</si>
  <si>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</si>
  <si>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</si>
  <si>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</si>
  <si>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</si>
  <si>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</si>
  <si>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</si>
  <si>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</si>
  <si>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</si>
  <si>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</si>
  <si>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</si>
  <si>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</si>
  <si>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</si>
  <si>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</si>
  <si>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</si>
  <si>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</si>
  <si>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</si>
  <si>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</si>
  <si>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</si>
  <si>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</si>
  <si>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</si>
  <si>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</si>
  <si>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</si>
  <si>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</si>
  <si>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</si>
  <si>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</si>
  <si>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</si>
  <si>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</si>
  <si>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</si>
  <si>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</si>
  <si>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</si>
  <si>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</si>
  <si>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</si>
  <si>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</si>
  <si>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</si>
  <si>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</si>
  <si>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</si>
  <si>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</si>
  <si>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</si>
  <si>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</si>
  <si>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</si>
  <si>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</si>
  <si>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</si>
  <si>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</si>
  <si>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</si>
  <si>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</si>
  <si>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</si>
  <si>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</si>
  <si>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</si>
  <si>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</si>
  <si>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</si>
  <si>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</si>
  <si>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</si>
  <si>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</si>
  <si>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</si>
  <si>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</si>
  <si>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</si>
  <si>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</si>
  <si>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</si>
  <si>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</si>
  <si>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</si>
  <si>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</si>
  <si>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</si>
  <si>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</si>
  <si>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</si>
  <si>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</si>
  <si>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</si>
  <si>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</si>
  <si>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</si>
  <si>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</si>
  <si>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</si>
  <si>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</si>
  <si>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</si>
  <si>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</si>
  <si>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</si>
  <si>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</si>
  <si>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</si>
  <si>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</si>
  <si>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</si>
  <si>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</si>
  <si>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</si>
  <si>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</si>
  <si>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</si>
  <si>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</si>
  <si>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</si>
  <si>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</si>
  <si>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</si>
  <si>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</si>
  <si>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</si>
  <si>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</si>
  <si>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</si>
  <si>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</si>
  <si>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</si>
  <si>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</si>
  <si>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</si>
  <si>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</si>
  <si>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</si>
  <si>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</si>
  <si>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</si>
  <si>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</si>
  <si>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</si>
  <si>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</si>
  <si>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</si>
  <si>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</si>
  <si>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</si>
  <si>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</si>
  <si>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</si>
  <si>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</si>
  <si>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</si>
  <si>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</si>
  <si>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</si>
  <si>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</si>
  <si>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</si>
  <si>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</si>
  <si>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</si>
  <si>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</si>
  <si>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</si>
  <si>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</si>
  <si>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</si>
  <si>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</si>
  <si>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</si>
  <si>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</si>
  <si>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</si>
  <si>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</si>
  <si>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</si>
  <si>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</si>
  <si>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</si>
  <si>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</si>
  <si>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</si>
  <si>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</si>
  <si>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</si>
  <si>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</si>
  <si>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</si>
  <si>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</si>
  <si>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</si>
  <si>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</si>
  <si>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</si>
  <si>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</si>
  <si>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</si>
  <si>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</si>
  <si>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</si>
  <si>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</si>
  <si>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</si>
  <si>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</si>
  <si>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</si>
  <si>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</si>
  <si>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</si>
  <si>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</si>
  <si>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</si>
  <si>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</si>
  <si>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</si>
  <si>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</si>
  <si>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</si>
  <si>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</si>
  <si>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</si>
  <si>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</si>
  <si>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</si>
  <si>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</si>
  <si>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</si>
  <si>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</si>
  <si>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</si>
  <si>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</si>
  <si>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</si>
  <si>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</si>
  <si>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</si>
  <si>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</si>
  <si>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</si>
  <si>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</si>
  <si>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</si>
  <si>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</si>
  <si>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</si>
  <si>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</si>
  <si>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</si>
  <si>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</si>
  <si>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</si>
  <si>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</si>
  <si>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</si>
  <si>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</si>
  <si>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</si>
  <si>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</si>
  <si>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</si>
  <si>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</si>
  <si>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</si>
  <si>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</si>
  <si>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</si>
  <si>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</si>
  <si>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</si>
  <si>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</si>
  <si>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</si>
  <si>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</si>
  <si>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</si>
  <si>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</si>
  <si>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</si>
  <si>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</si>
  <si>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</si>
  <si>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</si>
  <si>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</si>
  <si>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</si>
  <si>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</si>
  <si>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</si>
  <si>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</si>
  <si>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</si>
  <si>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</si>
  <si>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</si>
  <si>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</si>
  <si>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</si>
  <si>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</si>
  <si>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</si>
  <si>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</si>
  <si>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</si>
  <si>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</si>
  <si>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</si>
  <si>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</si>
  <si>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</si>
  <si>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</si>
  <si>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</si>
  <si>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</si>
  <si>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</si>
  <si>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</si>
  <si>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</si>
  <si>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</si>
  <si>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</si>
  <si>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</si>
  <si>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</si>
  <si>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</si>
  <si>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</si>
  <si>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</si>
  <si>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</si>
  <si>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</si>
  <si>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</si>
  <si>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</si>
  <si>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</si>
  <si>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</si>
  <si>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</si>
  <si>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</si>
  <si>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</si>
  <si>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</si>
  <si>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</si>
  <si>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</si>
  <si>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</si>
  <si>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</si>
  <si>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</si>
  <si>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</si>
  <si>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</si>
  <si>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</si>
  <si>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</si>
  <si>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</si>
  <si>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</si>
  <si>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</si>
  <si>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</si>
  <si>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</si>
  <si>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</si>
  <si>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</si>
  <si>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</si>
  <si>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</si>
  <si>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</si>
  <si>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</si>
  <si>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</si>
  <si>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</si>
  <si>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</si>
  <si>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</si>
  <si>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</si>
  <si>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</si>
  <si>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</si>
  <si>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</si>
  <si>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</si>
  <si>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</si>
  <si>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</si>
  <si>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</si>
  <si>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</si>
  <si>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</si>
  <si>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</si>
  <si>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</si>
  <si>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</si>
  <si>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</si>
  <si>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</si>
  <si>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</si>
  <si>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</si>
  <si>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</si>
  <si>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</si>
  <si>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</si>
  <si>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</si>
  <si>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</si>
  <si>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</si>
  <si>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</si>
  <si>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</si>
  <si>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</si>
  <si>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</si>
  <si>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</si>
  <si>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</si>
  <si>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</si>
  <si>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</si>
  <si>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</si>
  <si>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</si>
  <si>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</si>
  <si>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</si>
  <si>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</si>
  <si>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</si>
  <si>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</si>
  <si>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</si>
  <si>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</si>
  <si>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</si>
  <si>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</si>
  <si>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</si>
  <si>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</si>
  <si>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</si>
  <si>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</si>
  <si>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</si>
  <si>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</si>
  <si>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</si>
  <si>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</si>
  <si>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</si>
  <si>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</si>
  <si>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</si>
  <si>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</si>
  <si>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</si>
  <si>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</si>
  <si>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</si>
  <si>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</si>
  <si>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</si>
  <si>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</si>
  <si>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</si>
  <si>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</si>
  <si>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</si>
  <si>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</si>
  <si>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</si>
  <si>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</si>
  <si>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</si>
  <si>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</si>
  <si>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</si>
  <si>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</si>
  <si>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</si>
  <si>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</si>
  <si>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</si>
  <si>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</si>
  <si>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</si>
  <si>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</si>
  <si>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</si>
  <si>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</si>
  <si>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</si>
  <si>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</si>
  <si>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</si>
  <si>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</si>
  <si>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</si>
  <si>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</si>
  <si>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</si>
  <si>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</si>
  <si>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</si>
  <si>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</si>
  <si>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</si>
  <si>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</si>
  <si>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</si>
  <si>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</si>
  <si>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</si>
  <si>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</si>
  <si>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</si>
  <si>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</si>
  <si>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</si>
  <si>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</si>
  <si>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</si>
  <si>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</si>
  <si>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</si>
  <si>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</si>
  <si>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</si>
  <si>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</si>
  <si>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</si>
  <si>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</si>
  <si>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</si>
  <si>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</si>
  <si>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</si>
  <si>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</si>
  <si>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</si>
  <si>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</si>
  <si>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</si>
  <si>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</si>
  <si>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</si>
  <si>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</si>
  <si>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</si>
  <si>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</si>
  <si>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</si>
  <si>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</si>
  <si>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</si>
  <si>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</si>
  <si>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</si>
  <si>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</si>
  <si>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</si>
  <si>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</si>
  <si>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</si>
  <si>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</si>
  <si>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</si>
  <si>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</si>
  <si>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</si>
  <si>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</si>
  <si>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</si>
  <si>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</si>
  <si>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</si>
  <si>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</si>
  <si>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</si>
  <si>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</si>
  <si>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</si>
  <si>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</si>
  <si>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</si>
  <si>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</si>
  <si>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</si>
  <si>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</si>
  <si>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</si>
  <si>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</si>
  <si>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</si>
  <si>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</si>
  <si>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</si>
  <si>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</si>
  <si>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</si>
  <si>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</si>
  <si>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</si>
  <si>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</si>
  <si>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</si>
  <si>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</si>
  <si>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</si>
  <si>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</si>
  <si>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</si>
  <si>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</si>
  <si>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</si>
  <si>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</si>
  <si>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</si>
  <si>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</si>
  <si>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</si>
  <si>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</si>
  <si>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</si>
  <si>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</si>
  <si>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</si>
  <si>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</si>
  <si>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</si>
  <si>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</si>
  <si>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</si>
  <si>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</si>
  <si>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</si>
  <si>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</si>
  <si>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</si>
  <si>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</si>
  <si>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</si>
  <si>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</si>
  <si>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</si>
  <si>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</si>
  <si>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</si>
  <si>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</si>
  <si>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</si>
  <si>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</si>
  <si>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</si>
  <si>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</si>
  <si>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</si>
  <si>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</si>
  <si>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</si>
  <si>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</si>
  <si>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</si>
  <si>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</si>
  <si>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</si>
  <si>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</si>
  <si>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</si>
  <si>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</si>
  <si>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</si>
  <si>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</si>
  <si>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</si>
  <si>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</si>
  <si>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</si>
  <si>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</si>
  <si>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</si>
  <si>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</si>
  <si>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</si>
  <si>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</si>
  <si>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</si>
  <si>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</si>
  <si>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</si>
  <si>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</si>
  <si>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</si>
  <si>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</si>
  <si>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</si>
  <si>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</si>
  <si>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</si>
  <si>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</si>
  <si>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</si>
  <si>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</si>
  <si>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</si>
  <si>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</si>
  <si>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</si>
  <si>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</si>
  <si>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</si>
  <si>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</si>
  <si>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</si>
  <si>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</si>
  <si>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</si>
  <si>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</si>
  <si>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</si>
  <si>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</si>
  <si>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</si>
  <si>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</si>
  <si>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</si>
  <si>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</si>
  <si>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</si>
  <si>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</si>
  <si>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</si>
  <si>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</si>
  <si>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</si>
  <si>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</si>
  <si>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</si>
  <si>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</si>
  <si>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</si>
  <si>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Tavignano</t>
  </si>
  <si>
    <t xml:space="preserve">Aléria</t>
  </si>
  <si>
    <t xml:space="preserve">06215600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</si>
  <si>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</si>
  <si>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</si>
  <si>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</si>
  <si>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</si>
  <si>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</si>
  <si>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</si>
  <si>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</si>
  <si>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</si>
  <si>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</si>
  <si>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</si>
  <si>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</si>
  <si>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</si>
  <si>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</si>
  <si>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</si>
  <si>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</si>
  <si>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</si>
  <si>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</si>
  <si>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</si>
  <si>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</si>
  <si>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</si>
  <si>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</si>
  <si>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</si>
  <si>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</si>
  <si>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</si>
  <si>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</si>
  <si>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</si>
  <si>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</si>
  <si>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</si>
  <si>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</si>
  <si>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</si>
  <si>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</si>
  <si>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</si>
  <si>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</si>
  <si>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</si>
  <si>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</si>
  <si>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</si>
  <si>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</si>
  <si>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</si>
  <si>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</si>
  <si>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</si>
  <si>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</si>
  <si>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</si>
  <si>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</si>
  <si>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</si>
  <si>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</si>
  <si>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</si>
  <si>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</si>
  <si>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</si>
  <si>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</si>
  <si>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</si>
  <si>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</si>
  <si>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(4,42822 %)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</si>
  <si>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</si>
  <si>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</si>
  <si>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</si>
  <si>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</si>
  <si>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</si>
  <si>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</si>
  <si>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</si>
  <si>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</si>
  <si>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</si>
  <si>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</si>
  <si>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</si>
  <si>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</si>
  <si>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</si>
  <si>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</si>
  <si>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</si>
  <si>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</si>
  <si>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</si>
  <si>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</si>
  <si>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</si>
  <si>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</si>
  <si>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Cf.</t>
  </si>
  <si>
    <t xml:space="preserve">Leptolyngbya sp.</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</si>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</sst>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9.16666666666667</v>
      </c>
      <c r="M5" s="323"/>
      <c r="N5" s="324" t="s">
        <v>130</v>
      </c>
      <c r="O5" s="325" t="n">
        <v>8.6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53</v>
      </c>
      <c r="C7" s="337" t="n">
        <v>47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6.21428571428571</v>
      </c>
      <c r="O8" s="354" t="n">
        <f aca="false">IF(ISERROR(AVERAGE(J23:J82)),"      -",AVERAGE(J23:J82))</f>
        <v>1.21428571428571</v>
      </c>
      <c r="P8" s="355"/>
      <c r="Q8" s="280"/>
      <c r="R8" s="280"/>
      <c r="S8" s="280"/>
      <c r="T8" s="280"/>
      <c r="U8" s="280"/>
      <c r="V8" s="280"/>
      <c r="W8" s="292"/>
      <c r="X8" s="293"/>
    </row>
    <row r="9" customFormat="false" ht="13.5" hidden="false" customHeight="false" outlineLevel="0" collapsed="false">
      <c r="A9" s="313" t="s">
        <v>2635</v>
      </c>
      <c r="B9" s="356" t="n">
        <v>6.6</v>
      </c>
      <c r="C9" s="357" t="n">
        <v>1.95</v>
      </c>
      <c r="D9" s="358"/>
      <c r="E9" s="358"/>
      <c r="F9" s="359" t="n">
        <f aca="false">($B9*$B$7+$C9*$C$7)/100</f>
        <v>4.4145</v>
      </c>
      <c r="G9" s="360"/>
      <c r="H9" s="361"/>
      <c r="I9" s="362"/>
      <c r="J9" s="363"/>
      <c r="K9" s="343"/>
      <c r="L9" s="364"/>
      <c r="M9" s="353" t="s">
        <v>2636</v>
      </c>
      <c r="N9" s="354" t="n">
        <f aca="false">IF(ISERROR(STDEVP(I23:I82)),"     -",STDEVP(I23:I82))</f>
        <v>5.466502818185</v>
      </c>
      <c r="O9" s="354" t="n">
        <f aca="false">IF(ISERROR(STDEVP(J23:J82)),"      -",STDEVP(J23:J82))</f>
        <v>1.01267477705413</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7</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17</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14</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2</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6</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6.625</v>
      </c>
      <c r="C20" s="436" t="n">
        <f aca="false">SUM(C23:C82)</f>
        <v>1.951</v>
      </c>
      <c r="D20" s="437"/>
      <c r="E20" s="438" t="s">
        <v>2661</v>
      </c>
      <c r="F20" s="439" t="n">
        <f aca="false">($B20*$B$7+$C20*$C$7)/100</f>
        <v>4.42822</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3.51125</v>
      </c>
      <c r="C21" s="449" t="n">
        <f aca="false">C20*C7/100</f>
        <v>0.91697</v>
      </c>
      <c r="D21" s="381" t="str">
        <f aca="false">IF(F21=0,"",IF((ABS(F21-F19))&gt;(0.2*F21),CONCATENATE(" rec. par taxa (",F21," %) supérieur à 20 % !"),""))</f>
        <v> rec. par taxa (4,42822 %) supérieur à 20 % !</v>
      </c>
      <c r="E21" s="450" t="str">
        <f aca="false">IF(F21=0,"",IF((ABS(F21-F19))&gt;(0.2*F21),CONCATENATE("ATTENTION : écart entre rec. par grp (",F19," %) ","et",""),""))</f>
        <v>ATTENTION : écart entre rec. par grp (0 %) et</v>
      </c>
      <c r="F21" s="451" t="n">
        <f aca="false">B21+C21</f>
        <v>4.42822</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4</v>
      </c>
      <c r="C23" s="476" t="n">
        <v>1</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2.59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2.59</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0.5</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0.265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0.265</v>
      </c>
      <c r="R24" s="487" t="n">
        <f aca="false">IF(OR(ISTEXT(H24),Q24=0),"",IF(Q24&lt;0.1,1,IF(Q24&lt;1,2,IF(Q24&lt;10,3,IF(Q24&lt;50,4,IF(Q24&gt;=50,5,""))))))</f>
        <v>2</v>
      </c>
      <c r="S24" s="487" t="n">
        <f aca="false">IF(ISERROR(R24*I24),0,R24*I24)</f>
        <v>24</v>
      </c>
      <c r="T24" s="487" t="n">
        <f aca="false">IF(ISERROR(R24*I24*J24),0,R24*I24*J24)</f>
        <v>48</v>
      </c>
      <c r="U24" s="499" t="n">
        <f aca="false">IF(ISERROR(R24*J24),0,R24*J24)</f>
        <v>4</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154</v>
      </c>
      <c r="B25" s="494" t="n">
        <v>0.005</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0.00265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0.00265</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223</v>
      </c>
      <c r="B26" s="494" t="n">
        <v>1</v>
      </c>
      <c r="C26" s="495" t="n">
        <v>0.1</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0.577</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0.577</v>
      </c>
      <c r="R26" s="487" t="n">
        <f aca="false">IF(OR(ISTEXT(H26),Q26=0),"",IF(Q26&lt;0.1,1,IF(Q26&lt;1,2,IF(Q26&lt;10,3,IF(Q26&lt;50,4,IF(Q26&gt;=50,5,""))))))</f>
        <v>2</v>
      </c>
      <c r="S26" s="487" t="n">
        <f aca="false">IF(ISERROR(R26*I26),0,R26*I26)</f>
        <v>12</v>
      </c>
      <c r="T26" s="487" t="n">
        <f aca="false">IF(ISERROR(R26*I26*J26),0,R26*I26*J26)</f>
        <v>24</v>
      </c>
      <c r="U26" s="499" t="n">
        <f aca="false">IF(ISERROR(R26*J26),0,R26*J26)</f>
        <v>4</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0.00265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0.00265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c r="AB27" s="492"/>
      <c r="AC27" s="492"/>
      <c r="BB27" s="280" t="n">
        <f aca="false">IF(A27="","",1)</f>
        <v>1</v>
      </c>
    </row>
    <row r="28" customFormat="false" ht="12.75" hidden="false" customHeight="false" outlineLevel="0" collapsed="false">
      <c r="A28" s="493" t="s">
        <v>258</v>
      </c>
      <c r="B28" s="494" t="n">
        <v>0.2</v>
      </c>
      <c r="C28" s="495" t="n">
        <v>0.03</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0.1201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0.1201</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263</v>
      </c>
      <c r="B29" s="494" t="n">
        <v>0.15</v>
      </c>
      <c r="C29" s="495"/>
      <c r="D29" s="477" t="str">
        <f aca="false">IF(ISERROR(VLOOKUP($A29,'liste reference'!$A$7:$D$904,2,0)),IF(ISERROR(VLOOKUP($A29,'liste reference'!$B$7:$D$904,1,0)),"",VLOOKUP($A29,'liste reference'!$B$7:$D$904,1,0)),VLOOKUP($A29,'liste reference'!$A$7:$D$904,2,0))</f>
        <v>Stigeoclonium sp.</v>
      </c>
      <c r="E29" s="496" t="e">
        <f aca="false">IF(D29="",0,VLOOKUP(D29,D$22:D28,1,0))</f>
        <v>#N/A</v>
      </c>
      <c r="F29" s="497" t="n">
        <f aca="false">($B29*$B$7+$C29*$C$7)/100</f>
        <v>0.0795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1119</v>
      </c>
      <c r="Q29" s="486" t="n">
        <f aca="false">IF(ISTEXT(H29),"",(B29*$B$7/100)+(C29*$C$7/100))</f>
        <v>0.0795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STISPX</v>
      </c>
      <c r="Z29" s="280" t="n">
        <f aca="false">IF(ISERROR(MATCH(A29,'liste reference'!$A$8:$A$904,0)),IF(ISERROR(MATCH(A29,'liste reference'!$B$8:$B$904,0)),"",(MATCH(A29,'liste reference'!$B$8:$B$904,0))),(MATCH(A29,'liste reference'!$A$8:$A$904,0)))</f>
        <v>71</v>
      </c>
      <c r="AA29" s="491"/>
      <c r="AB29" s="492"/>
      <c r="AC29" s="492"/>
      <c r="BB29" s="280" t="n">
        <f aca="false">IF(A29="","",1)</f>
        <v>1</v>
      </c>
    </row>
    <row r="30" customFormat="false" ht="12.75" hidden="false" customHeight="false" outlineLevel="0" collapsed="false">
      <c r="A30" s="493" t="s">
        <v>1153</v>
      </c>
      <c r="B30" s="494" t="n">
        <v>0.005</v>
      </c>
      <c r="C30" s="495" t="n">
        <v>0.005</v>
      </c>
      <c r="D30" s="477" t="str">
        <f aca="false">IF(ISERROR(VLOOKUP($A30,'liste reference'!$A$7:$D$904,2,0)),IF(ISERROR(VLOOKUP($A30,'liste reference'!$B$7:$D$904,1,0)),"",VLOOKUP($A30,'liste reference'!$B$7:$D$904,1,0)),VLOOKUP($A30,'liste reference'!$A$7:$D$904,2,0))</f>
        <v>Equisetum arvense</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PTE</v>
      </c>
      <c r="H30" s="480" t="n">
        <f aca="false">IF(A30="","x",IF(ISERROR(VLOOKUP($A30,'liste reference'!$A$8:$P$904,14,0)),IF(ISERROR(VLOOKUP($A30,'liste reference'!$B$8:$P$904,13,0)),"x",VLOOKUP($A30,'liste reference'!$B$8:$P$904,13,0)),VLOOKUP($A30,'liste reference'!$A$8:$P$904,14,0)))</f>
        <v>6</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arvense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1384</v>
      </c>
      <c r="Q30" s="486" t="n">
        <f aca="false">IF(ISTEXT(H30),"",(B30*$B$7/100)+(C30*$C$7/100))</f>
        <v>0.005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EQUARV</v>
      </c>
      <c r="Z30" s="280" t="n">
        <f aca="false">IF(ISERROR(MATCH(A30,'liste reference'!$A$8:$A$904,0)),IF(ISERROR(MATCH(A30,'liste reference'!$B$8:$B$904,0)),"",(MATCH(A30,'liste reference'!$B$8:$B$904,0))),(MATCH(A30,'liste reference'!$A$8:$A$904,0)))</f>
        <v>278</v>
      </c>
      <c r="AA30" s="491"/>
      <c r="AB30" s="492"/>
      <c r="AC30" s="492"/>
      <c r="BB30" s="280" t="n">
        <f aca="false">IF(A30="","",1)</f>
        <v>1</v>
      </c>
    </row>
    <row r="31" customFormat="false" ht="12.75" hidden="false" customHeight="false" outlineLevel="0" collapsed="false">
      <c r="A31" s="493" t="s">
        <v>1477</v>
      </c>
      <c r="B31" s="494"/>
      <c r="C31" s="495" t="n">
        <v>0.15</v>
      </c>
      <c r="D31" s="477" t="str">
        <f aca="false">IF(ISERROR(VLOOKUP($A31,'liste reference'!$A$7:$D$904,2,0)),IF(ISERROR(VLOOKUP($A31,'liste reference'!$B$7:$D$904,1,0)),"",VLOOKUP($A31,'liste reference'!$B$7:$D$904,1,0)),VLOOKUP($A31,'liste reference'!$A$7:$D$904,2,0))</f>
        <v>Potamogeton nodosus</v>
      </c>
      <c r="E31" s="496" t="e">
        <f aca="false">IF(D31="",0,VLOOKUP(D31,D$22:D30,1,0))</f>
        <v>#N/A</v>
      </c>
      <c r="F31" s="497" t="n">
        <f aca="false">($B31*$B$7+$C31*$C$7)/100</f>
        <v>0.0705</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nodosus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1652</v>
      </c>
      <c r="Q31" s="486" t="n">
        <f aca="false">IF(ISTEXT(H31),"",(B31*$B$7/100)+(C31*$C$7/100))</f>
        <v>0.0705</v>
      </c>
      <c r="R31" s="487" t="n">
        <f aca="false">IF(OR(ISTEXT(H31),Q31=0),"",IF(Q31&lt;0.1,1,IF(Q31&lt;1,2,IF(Q31&lt;10,3,IF(Q31&lt;50,4,IF(Q31&gt;=50,5,""))))))</f>
        <v>1</v>
      </c>
      <c r="S31" s="487" t="n">
        <f aca="false">IF(ISERROR(R31*I31),0,R31*I31)</f>
        <v>4</v>
      </c>
      <c r="T31" s="487" t="n">
        <f aca="false">IF(ISERROR(R31*I31*J31),0,R31*I31*J31)</f>
        <v>12</v>
      </c>
      <c r="U31" s="499" t="n">
        <f aca="false">IF(ISERROR(R31*J31),0,R31*J31)</f>
        <v>3</v>
      </c>
      <c r="V31" s="488" t="str">
        <f aca="false">IF(AND(A31="",F31=0),"",IF(F31=0,"Il manque le(s) % de rec. !",""))</f>
        <v/>
      </c>
      <c r="W31" s="489"/>
      <c r="Y31" s="490" t="str">
        <f aca="false">IF(A31="new.cod","NEWCOD",IF(AND((Z31=""),ISTEXT(A31)),A31,IF(Z31="","",INDEX('liste reference'!$A$8:$A$904,Z31))))</f>
        <v>POTNOD</v>
      </c>
      <c r="Z31" s="280" t="n">
        <f aca="false">IF(ISERROR(MATCH(A31,'liste reference'!$A$8:$A$904,0)),IF(ISERROR(MATCH(A31,'liste reference'!$B$8:$B$904,0)),"",(MATCH(A31,'liste reference'!$B$8:$B$904,0))),(MATCH(A31,'liste reference'!$A$8:$A$904,0)))</f>
        <v>418</v>
      </c>
      <c r="AA31" s="491"/>
      <c r="AB31" s="492"/>
      <c r="AC31" s="492"/>
      <c r="BB31" s="280" t="n">
        <f aca="false">IF(A31="","",1)</f>
        <v>1</v>
      </c>
    </row>
    <row r="32" customFormat="false" ht="12.75" hidden="false" customHeight="false" outlineLevel="0" collapsed="false">
      <c r="A32" s="493" t="s">
        <v>1720</v>
      </c>
      <c r="B32" s="494"/>
      <c r="C32" s="495" t="n">
        <v>0.001</v>
      </c>
      <c r="D32" s="477" t="str">
        <f aca="false">IF(ISERROR(VLOOKUP($A32,'liste reference'!$A$7:$D$904,2,0)),IF(ISERROR(VLOOKUP($A32,'liste reference'!$B$7:$D$904,1,0)),"",VLOOKUP($A32,'liste reference'!$B$7:$D$904,1,0)),VLOOKUP($A32,'liste reference'!$A$7:$D$904,2,0))</f>
        <v>Alisma plantago-aquatica</v>
      </c>
      <c r="E32" s="496" t="e">
        <f aca="false">IF(D32="",0,VLOOKUP(D32,D$22:D31,1,0))</f>
        <v>#N/A</v>
      </c>
      <c r="F32" s="497" t="n">
        <f aca="false">($B32*$B$7+$C32*$C$7)/100</f>
        <v>0.00047</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8</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Alisma plantago-aquatica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1447</v>
      </c>
      <c r="Q32" s="486" t="n">
        <f aca="false">IF(ISTEXT(H32),"",(B32*$B$7/100)+(C32*$C$7/100))</f>
        <v>0.00047</v>
      </c>
      <c r="R32" s="487" t="n">
        <f aca="false">IF(OR(ISTEXT(H32),Q32=0),"",IF(Q32&lt;0.1,1,IF(Q32&lt;1,2,IF(Q32&lt;10,3,IF(Q32&lt;50,4,IF(Q32&gt;=50,5,""))))))</f>
        <v>1</v>
      </c>
      <c r="S32" s="487" t="n">
        <f aca="false">IF(ISERROR(R32*I32),0,R32*I32)</f>
        <v>8</v>
      </c>
      <c r="T32" s="487" t="n">
        <f aca="false">IF(ISERROR(R32*I32*J32),0,R32*I32*J32)</f>
        <v>16</v>
      </c>
      <c r="U32" s="499" t="n">
        <f aca="false">IF(ISERROR(R32*J32),0,R32*J32)</f>
        <v>2</v>
      </c>
      <c r="V32" s="488" t="str">
        <f aca="false">IF(AND(A32="",F32=0),"",IF(F32=0,"Il manque le(s) % de rec. !",""))</f>
        <v/>
      </c>
      <c r="W32" s="489"/>
      <c r="Y32" s="490" t="str">
        <f aca="false">IF(A32="new.cod","NEWCOD",IF(AND((Z32=""),ISTEXT(A32)),A32,IF(Z32="","",INDEX('liste reference'!$A$8:$A$904,Z32))))</f>
        <v>ALIPLA</v>
      </c>
      <c r="Z32" s="280" t="n">
        <f aca="false">IF(ISERROR(MATCH(A32,'liste reference'!$A$8:$A$904,0)),IF(ISERROR(MATCH(A32,'liste reference'!$B$8:$B$904,0)),"",(MATCH(A32,'liste reference'!$B$8:$B$904,0))),(MATCH(A32,'liste reference'!$A$8:$A$904,0)))</f>
        <v>517</v>
      </c>
      <c r="AA32" s="491"/>
      <c r="AB32" s="492"/>
      <c r="AC32" s="492"/>
      <c r="BB32" s="280" t="n">
        <f aca="false">IF(A32="","",1)</f>
        <v>1</v>
      </c>
    </row>
    <row r="33" customFormat="false" ht="12.75" hidden="false" customHeight="false" outlineLevel="0" collapsed="false">
      <c r="A33" s="493" t="s">
        <v>2107</v>
      </c>
      <c r="B33" s="494"/>
      <c r="C33" s="495" t="n">
        <v>0.005</v>
      </c>
      <c r="D33" s="477" t="str">
        <f aca="false">IF(ISERROR(VLOOKUP($A33,'liste reference'!$A$7:$D$904,2,0)),IF(ISERROR(VLOOKUP($A33,'liste reference'!$B$7:$D$904,1,0)),"",VLOOKUP($A33,'liste reference'!$B$7:$D$904,1,0)),VLOOKUP($A33,'liste reference'!$A$7:$D$904,2,0))</f>
        <v>Typha sp.</v>
      </c>
      <c r="E33" s="496" t="e">
        <f aca="false">IF(D33="",0,VLOOKUP(D33,D$22:D32,1,0))</f>
        <v>#N/A</v>
      </c>
      <c r="F33" s="497" t="n">
        <f aca="false">($B33*$B$7+$C33*$C$7)/100</f>
        <v>0.00235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Typha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1674</v>
      </c>
      <c r="Q33" s="486" t="n">
        <f aca="false">IF(ISTEXT(H33),"",(B33*$B$7/100)+(C33*$C$7/100))</f>
        <v>0.00235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TYPSPX</v>
      </c>
      <c r="Z33" s="280" t="n">
        <f aca="false">IF(ISERROR(MATCH(A33,'liste reference'!$A$8:$A$904,0)),IF(ISERROR(MATCH(A33,'liste reference'!$B$8:$B$904,0)),"",(MATCH(A33,'liste reference'!$B$8:$B$904,0))),(MATCH(A33,'liste reference'!$A$8:$A$904,0)))</f>
        <v>681</v>
      </c>
      <c r="AA33" s="491"/>
      <c r="AB33" s="492"/>
      <c r="AC33" s="492"/>
      <c r="BB33" s="280" t="n">
        <f aca="false">IF(A33="","",1)</f>
        <v>1</v>
      </c>
    </row>
    <row r="34" customFormat="false" ht="12.75" hidden="false" customHeight="false" outlineLevel="0" collapsed="false">
      <c r="A34" s="493" t="s">
        <v>2147</v>
      </c>
      <c r="B34" s="494" t="n">
        <v>0.5</v>
      </c>
      <c r="C34" s="495" t="n">
        <v>0.25</v>
      </c>
      <c r="D34" s="477" t="str">
        <f aca="false">IF(ISERROR(VLOOKUP($A34,'liste reference'!$A$7:$D$904,2,0)),IF(ISERROR(VLOOKUP($A34,'liste reference'!$B$7:$D$904,1,0)),"",VLOOKUP($A34,'liste reference'!$B$7:$D$904,1,0)),VLOOKUP($A34,'liste reference'!$A$7:$D$904,2,0))</f>
        <v>Arundo donax</v>
      </c>
      <c r="E34" s="496" t="e">
        <f aca="false">IF(D34="",0,VLOOKUP(D34,D$17:D32,1,0))</f>
        <v>#N/A</v>
      </c>
      <c r="F34" s="500" t="n">
        <f aca="false">($B34*$B$7+$C34*$C$7)/100</f>
        <v>0.3825</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Arundo donax</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1551</v>
      </c>
      <c r="Q34" s="486" t="n">
        <f aca="false">IF(ISTEXT(H34),"",(B34*$B$7/100)+(C34*$C$7/100))</f>
        <v>0.3825</v>
      </c>
      <c r="R34" s="487" t="n">
        <f aca="false">IF(OR(ISTEXT(H34),Q34=0),"",IF(Q34&lt;0.1,1,IF(Q34&lt;1,2,IF(Q34&lt;10,3,IF(Q34&lt;50,4,IF(Q34&gt;=50,5,""))))))</f>
        <v>2</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ARUDON</v>
      </c>
      <c r="Z34" s="280" t="n">
        <f aca="false">IF(ISERROR(MATCH(A34,'liste reference'!$A$8:$A$904,0)),IF(ISERROR(MATCH(A34,'liste reference'!$B$8:$B$904,0)),"",(MATCH(A34,'liste reference'!$B$8:$B$904,0))),(MATCH(A34,'liste reference'!$A$8:$A$904,0)))</f>
        <v>698</v>
      </c>
      <c r="AA34" s="491"/>
      <c r="AB34" s="492"/>
      <c r="AC34" s="492"/>
      <c r="BB34" s="280" t="n">
        <f aca="false">IF(A34="","",1)</f>
        <v>1</v>
      </c>
    </row>
    <row r="35" customFormat="false" ht="12.75" hidden="false" customHeight="false" outlineLevel="0" collapsed="false">
      <c r="A35" s="493" t="s">
        <v>2204</v>
      </c>
      <c r="B35" s="494"/>
      <c r="C35" s="495" t="n">
        <v>0.005</v>
      </c>
      <c r="D35" s="477" t="str">
        <f aca="false">IF(ISERROR(VLOOKUP($A35,'liste reference'!$A$7:$D$904,2,0)),IF(ISERROR(VLOOKUP($A35,'liste reference'!$B$7:$D$904,1,0)),"",VLOOKUP($A35,'liste reference'!$B$7:$D$904,1,0)),VLOOKUP($A35,'liste reference'!$A$7:$D$904,2,0))</f>
        <v>Cyperus longus</v>
      </c>
      <c r="E35" s="496" t="e">
        <f aca="false">IF(D35="",0,VLOOKUP(D35,D$22:D34,1,0))</f>
        <v>#N/A</v>
      </c>
      <c r="F35" s="500" t="n">
        <f aca="false">($B35*$B$7+$C35*$C$7)/100</f>
        <v>0.00235</v>
      </c>
      <c r="G35" s="479" t="str">
        <f aca="false">IF(A35="","",IF(ISERROR(VLOOKUP($A35,'liste reference'!$A$7:$P$904,13,0)),IF(ISERROR(VLOOKUP($A35,'liste reference'!$B$7:$P$904,12,0)),"    -",VLOOKUP($A35,'liste reference'!$B$7:$P$904,12,0)),VLOOKUP($A35,'liste reference'!$A$7:$P$904,13,0)))</f>
        <v>PHg</v>
      </c>
      <c r="H35" s="480" t="n">
        <f aca="false">IF(A35="","x",IF(ISERROR(VLOOKUP($A35,'liste reference'!$A$8:$P$904,14,0)),IF(ISERROR(VLOOKUP($A35,'liste reference'!$B$8:$P$904,13,0)),"x",VLOOKUP($A35,'liste reference'!$B$8:$P$904,13,0)),VLOOKUP($A35,'liste reference'!$A$8:$P$904,14,0)))</f>
        <v>9</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Cyperus longus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1500</v>
      </c>
      <c r="Q35" s="486" t="n">
        <f aca="false">IF(ISTEXT(H35),"",(B35*$B$7/100)+(C35*$C$7/100))</f>
        <v>0.00235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CYPLON</v>
      </c>
      <c r="Z35" s="280" t="n">
        <f aca="false">IF(ISERROR(MATCH(A35,'liste reference'!$A$8:$A$904,0)),IF(ISERROR(MATCH(A35,'liste reference'!$B$8:$B$904,0)),"",(MATCH(A35,'liste reference'!$B$8:$B$904,0))),(MATCH(A35,'liste reference'!$A$8:$A$904,0)))</f>
        <v>724</v>
      </c>
      <c r="AA35" s="491"/>
      <c r="AB35" s="492"/>
      <c r="AC35" s="492"/>
      <c r="BB35" s="280" t="n">
        <f aca="false">IF(A35="","",1)</f>
        <v>1</v>
      </c>
    </row>
    <row r="36" customFormat="false" ht="12.75" hidden="false" customHeight="false" outlineLevel="0" collapsed="false">
      <c r="A36" s="493" t="s">
        <v>2558</v>
      </c>
      <c r="B36" s="494" t="n">
        <v>0.005</v>
      </c>
      <c r="C36" s="495" t="n">
        <v>0.005</v>
      </c>
      <c r="D36" s="477" t="str">
        <f aca="false">IF(ISERROR(VLOOKUP($A36,'liste reference'!$A$7:$D$904,2,0)),IF(ISERROR(VLOOKUP($A36,'liste reference'!$B$7:$D$904,1,0)),"",VLOOKUP($A36,'liste reference'!$B$7:$D$904,1,0)),VLOOKUP($A36,'liste reference'!$A$7:$D$904,2,0))</f>
        <v>Scirpus maritimus</v>
      </c>
      <c r="E36" s="496" t="e">
        <f aca="false">IF(D36="",0,VLOOKUP(D36,D$22:D35,1,0))</f>
        <v>#N/A</v>
      </c>
      <c r="F36" s="500" t="n">
        <f aca="false">($B36*$B$7+$C36*$C$7)/100</f>
        <v>0.005</v>
      </c>
      <c r="G36" s="479" t="str">
        <f aca="false">IF(A36="","",IF(ISERROR(VLOOKUP($A36,'liste reference'!$A$7:$P$904,13,0)),IF(ISERROR(VLOOKUP($A36,'liste reference'!$B$7:$P$904,12,0)),"    -",VLOOKUP($A36,'liste reference'!$B$7:$P$904,12,0)),VLOOKUP($A36,'liste reference'!$A$7:$P$904,13,0)))</f>
        <v>PHx</v>
      </c>
      <c r="H36" s="480" t="n">
        <f aca="false">IF(A36="","x",IF(ISERROR(VLOOKUP($A36,'liste reference'!$A$8:$P$904,14,0)),IF(ISERROR(VLOOKUP($A36,'liste reference'!$B$8:$P$904,13,0)),"x",VLOOKUP($A36,'liste reference'!$B$8:$P$904,13,0)),VLOOKUP($A36,'liste reference'!$A$8:$P$904,14,0)))</f>
        <v>10</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Scirpus maritimus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1522</v>
      </c>
      <c r="Q36" s="486" t="n">
        <f aca="false">IF(ISTEXT(H36),"",(B36*$B$7/100)+(C36*$C$7/100))</f>
        <v>0.005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SCIMAR</v>
      </c>
      <c r="Z36" s="280" t="n">
        <f aca="false">IF(ISERROR(MATCH(A36,'liste reference'!$A$8:$A$904,0)),IF(ISERROR(MATCH(A36,'liste reference'!$B$8:$B$904,0)),"",(MATCH(A36,'liste reference'!$B$8:$B$904,0))),(MATCH(A36,'liste reference'!$A$8:$A$904,0)))</f>
        <v>881</v>
      </c>
      <c r="AA36" s="491"/>
      <c r="AB36" s="492"/>
      <c r="AC36" s="492"/>
      <c r="BB36" s="280" t="n">
        <f aca="false">IF(A36="","",1)</f>
        <v>1</v>
      </c>
    </row>
    <row r="37" customFormat="false" ht="12.75" hidden="false" customHeight="false" outlineLevel="0" collapsed="false">
      <c r="A37" s="493" t="s">
        <v>2686</v>
      </c>
      <c r="B37" s="494" t="n">
        <v>0.25</v>
      </c>
      <c r="C37" s="495" t="n">
        <v>0.2</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0.2265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Paspalum distichum</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t="s">
        <v>2686</v>
      </c>
      <c r="B38" s="494"/>
      <c r="C38" s="495" t="n">
        <v>0.2</v>
      </c>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0.094</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Leptolyngbya sp.</v>
      </c>
      <c r="L38" s="498"/>
      <c r="M38" s="498"/>
      <c r="N38" s="498"/>
      <c r="O38" s="484" t="s">
        <v>2688</v>
      </c>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t="s">
        <v>2688</v>
      </c>
      <c r="AB38" s="492" t="s">
        <v>2689</v>
      </c>
      <c r="AC38" s="492"/>
      <c r="BB38" s="280" t="n">
        <f aca="false">IF(A38="","",1)</f>
        <v>1</v>
      </c>
    </row>
    <row r="39" customFormat="false" ht="12.75" hidden="false" customHeight="false" outlineLevel="0" collapsed="false">
      <c r="A39" s="493" t="s">
        <v>2686</v>
      </c>
      <c r="B39" s="494" t="n">
        <v>0.005</v>
      </c>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0.00265</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Equisetum ramosissimum</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X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2690</v>
      </c>
      <c r="AC39" s="492"/>
      <c r="BB39" s="280" t="n">
        <f aca="false">IF(A39="","",1)</f>
        <v>1</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1"/>
      <c r="M40" s="501"/>
      <c r="N40" s="501"/>
      <c r="O40" s="484"/>
      <c r="P40" s="502"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1"/>
      <c r="M41" s="501"/>
      <c r="N41" s="501"/>
      <c r="O41" s="484"/>
      <c r="P41" s="502"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X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IF(D47="",0,VLOOKUP(D47,D$19:D42,1,0))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3"/>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IF(D57="",0,VLOOKUP(D57,D$15:D56,1,0))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IF(D61="",0,VLOOKUP(D61,D$21:D60,1,0))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X61" s="504"/>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Tavignano</v>
      </c>
      <c r="B84" s="529" t="str">
        <f aca="false">C3</f>
        <v>Aléria</v>
      </c>
      <c r="C84" s="530" t="n">
        <f aca="false">A4</f>
        <v>41825</v>
      </c>
      <c r="D84" s="531" t="n">
        <f aca="false">IF(ISERROR(SUM($T$23:$T$82)/SUM($U$23:$U$82)),"",SUM($T$23:$T$82)/SUM($U$23:$U$82))</f>
        <v>9.16666666666667</v>
      </c>
      <c r="E84" s="532" t="n">
        <f aca="false">N13</f>
        <v>17</v>
      </c>
      <c r="F84" s="529" t="n">
        <f aca="false">N14</f>
        <v>14</v>
      </c>
      <c r="G84" s="529" t="n">
        <f aca="false">N15</f>
        <v>2</v>
      </c>
      <c r="H84" s="529" t="n">
        <f aca="false">N16</f>
        <v>6</v>
      </c>
      <c r="I84" s="529" t="n">
        <f aca="false">N17</f>
        <v>1</v>
      </c>
      <c r="J84" s="533" t="n">
        <f aca="false">N8</f>
        <v>6.21428571428571</v>
      </c>
      <c r="K84" s="531" t="n">
        <f aca="false">N9</f>
        <v>5.466502818185</v>
      </c>
      <c r="L84" s="532" t="n">
        <f aca="false">N10</f>
        <v>0</v>
      </c>
      <c r="M84" s="532" t="n">
        <f aca="false">N11</f>
        <v>15</v>
      </c>
      <c r="N84" s="531" t="n">
        <f aca="false">O8</f>
        <v>1.21428571428571</v>
      </c>
      <c r="O84" s="531" t="n">
        <f aca="false">O9</f>
        <v>1.01267477705413</v>
      </c>
      <c r="P84" s="532" t="n">
        <f aca="false">O10</f>
        <v>0</v>
      </c>
      <c r="Q84" s="532" t="n">
        <f aca="false">O11</f>
        <v>3</v>
      </c>
      <c r="R84" s="532" t="n">
        <f aca="false">F21</f>
        <v>4.42822</v>
      </c>
      <c r="S84" s="532" t="n">
        <f aca="false">K11</f>
        <v>0</v>
      </c>
      <c r="T84" s="532" t="n">
        <f aca="false">K12</f>
        <v>7</v>
      </c>
      <c r="U84" s="532" t="n">
        <f aca="false">K13</f>
        <v>0</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24</v>
      </c>
      <c r="T87" s="280"/>
      <c r="U87" s="280"/>
      <c r="V87" s="280"/>
    </row>
    <row r="88" customFormat="false" ht="12.75" hidden="true" customHeight="false" outlineLevel="0" collapsed="false">
      <c r="P88" s="280"/>
      <c r="Q88" s="280" t="s">
        <v>2694</v>
      </c>
      <c r="R88" s="280"/>
      <c r="S88" s="488" t="n">
        <f aca="false">VLOOKUP((S87),($S$23:$U$82),2,0)</f>
        <v>48</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8.6</v>
      </c>
      <c r="T90" s="280"/>
    </row>
    <row r="91" customFormat="false" ht="12.75" hidden="false" customHeight="false" outlineLevel="0" collapsed="false">
      <c r="Q91" s="487" t="s">
        <v>2697</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2698</v>
      </c>
      <c r="R92" s="280"/>
      <c r="S92" s="280" t="n">
        <f aca="false">MATCH(S87,$S$23:$S$82,0)</f>
        <v>2</v>
      </c>
      <c r="T92" s="280"/>
    </row>
    <row r="93" customFormat="false" ht="12.75" hidden="false" customHeight="false" outlineLevel="0" collapsed="false">
      <c r="Q93" s="487" t="s">
        <v>2699</v>
      </c>
      <c r="R93" s="280"/>
      <c r="S93" s="487" t="str">
        <f aca="false">INDEX($A$23:$A$82,$S$92)</f>
        <v>DIASPX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3"/>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4"/>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4"/>
      <c r="P59" s="502"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4"/>
      <c r="P60" s="502"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2723</v>
      </c>
    </row>
    <row r="37" customFormat="false" ht="15" hidden="false" customHeight="false" outlineLevel="0" collapsed="false">
      <c r="A37" s="565" t="s">
        <v>2142</v>
      </c>
      <c r="B37" s="566" t="s">
        <v>2724</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2015-03-20T14:58:02Z</dcterms:modified>
  <cp:revision>0</cp:revision>
  <dc:subject/>
  <dc:title>Feuille d'aide au calcul de l'IBMR</dc:title>
</cp:coreProperties>
</file>