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850" sheetId="6" state="visible" r:id="rId8"/>
    <sheet name="modele" sheetId="7" state="hidden" r:id="rId9"/>
    <sheet name="liste codes réf" sheetId="8" state="hidden" r:id="rId10"/>
  </sheets>
  <definedNames>
    <definedName function="false" hidden="false" localSheetId="5" name="_xlnm.Print_Area" vbProcedure="false">'06215850'!$A$1:$O$82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'06215850'!$A$23:$J$84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<sst xmlns="http://schemas.openxmlformats.org/spreadsheetml/2006/main" count="7355" uniqueCount="2730">
  <si>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</si>
  <si>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</si>
  <si>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</si>
  <si>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</si>
  <si>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</si>
  <si>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</si>
  <si>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</si>
  <si>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</si>
  <si>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</si>
  <si>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</si>
  <si>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</si>
  <si>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</si>
  <si>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</si>
  <si>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</si>
  <si>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</si>
  <si>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</si>
  <si>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</si>
  <si>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</si>
  <si>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</si>
  <si>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</si>
  <si>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</si>
  <si>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</si>
  <si>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</si>
  <si>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</si>
  <si>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</si>
  <si>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</si>
  <si>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</si>
  <si>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</si>
  <si>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</si>
  <si>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</si>
  <si>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</si>
  <si>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</si>
  <si>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</si>
  <si>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</si>
  <si>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</si>
  <si>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</si>
  <si>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</si>
  <si>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</si>
  <si>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</si>
  <si>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</si>
  <si>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</si>
  <si>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</si>
  <si>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</si>
  <si>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</si>
  <si>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</si>
  <si>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</si>
  <si>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</si>
  <si>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</si>
  <si>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</si>
  <si>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</si>
  <si>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</si>
  <si>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</si>
  <si>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</si>
  <si>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</si>
  <si>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</si>
  <si>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</si>
  <si>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</si>
  <si>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</si>
  <si>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</si>
  <si>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</si>
  <si>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</si>
  <si>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</si>
  <si>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</si>
  <si>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</si>
  <si>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</si>
  <si>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</si>
  <si>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</si>
  <si>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</si>
  <si>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</si>
  <si>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</si>
  <si>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</si>
  <si>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</si>
  <si>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</si>
  <si>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</si>
  <si>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</si>
  <si>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</si>
  <si>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</si>
  <si>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</si>
  <si>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</si>
  <si>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</si>
  <si>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</si>
  <si>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</si>
  <si>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</si>
  <si>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</si>
  <si>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</si>
  <si>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</si>
  <si>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</si>
  <si>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</si>
  <si>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</si>
  <si>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</si>
  <si>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</si>
  <si>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</si>
  <si>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</si>
  <si>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</si>
  <si>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</si>
  <si>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</si>
  <si>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</si>
  <si>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</si>
  <si>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</si>
  <si>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</si>
  <si>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</si>
  <si>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</si>
  <si>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</si>
  <si>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</si>
  <si>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</si>
  <si>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</si>
  <si>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</si>
  <si>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</si>
  <si>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</si>
  <si>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</si>
  <si>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</si>
  <si>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</si>
  <si>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</si>
  <si>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</si>
  <si>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</si>
  <si>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</si>
  <si>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</si>
  <si>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</si>
  <si>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</si>
  <si>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</si>
  <si>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</si>
  <si>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</si>
  <si>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</si>
  <si>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</si>
  <si>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</si>
  <si>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</si>
  <si>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</si>
  <si>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</si>
  <si>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</si>
  <si>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</si>
  <si>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</si>
  <si>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</si>
  <si>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</si>
  <si>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</si>
  <si>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</si>
  <si>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</si>
  <si>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</si>
  <si>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</si>
  <si>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</si>
  <si>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</si>
  <si>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</si>
  <si>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</si>
  <si>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</si>
  <si>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</si>
  <si>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</si>
  <si>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</si>
  <si>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</si>
  <si>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</si>
  <si>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</si>
  <si>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</si>
  <si>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</si>
  <si>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</si>
  <si>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</si>
  <si>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</si>
  <si>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</si>
  <si>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</si>
  <si>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</si>
  <si>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</si>
  <si>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</si>
  <si>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</si>
  <si>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</si>
  <si>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</si>
  <si>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</si>
  <si>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</si>
  <si>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</si>
  <si>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</si>
  <si>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</si>
  <si>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</si>
  <si>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</si>
  <si>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</si>
  <si>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</si>
  <si>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</si>
  <si>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</si>
  <si>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</si>
  <si>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</si>
  <si>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</si>
  <si>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</si>
  <si>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</si>
  <si>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</si>
  <si>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</si>
  <si>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</si>
  <si>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</si>
  <si>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</si>
  <si>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</si>
  <si>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</si>
  <si>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</si>
  <si>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</si>
  <si>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</si>
  <si>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</si>
  <si>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</si>
  <si>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</si>
  <si>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</si>
  <si>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</si>
  <si>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</si>
  <si>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</si>
  <si>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</si>
  <si>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</si>
  <si>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</si>
  <si>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</si>
  <si>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</si>
  <si>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</si>
  <si>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</si>
  <si>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</si>
  <si>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</si>
  <si>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</si>
  <si>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</si>
  <si>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</si>
  <si>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</si>
  <si>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</si>
  <si>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</si>
  <si>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</si>
  <si>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</si>
  <si>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</si>
  <si>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</si>
  <si>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</si>
  <si>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</si>
  <si>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</si>
  <si>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</si>
  <si>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</si>
  <si>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</si>
  <si>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</si>
  <si>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</si>
  <si>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</si>
  <si>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</si>
  <si>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</si>
  <si>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</si>
  <si>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</si>
  <si>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</si>
  <si>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</si>
  <si>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</si>
  <si>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</si>
  <si>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</si>
  <si>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</si>
  <si>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</si>
  <si>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</si>
  <si>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</si>
  <si>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</si>
  <si>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</si>
  <si>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</si>
  <si>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</si>
  <si>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</si>
  <si>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</si>
  <si>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</si>
  <si>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</si>
  <si>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</si>
  <si>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</si>
  <si>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</si>
  <si>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</si>
  <si>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</si>
  <si>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</si>
  <si>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</si>
  <si>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</si>
  <si>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</si>
  <si>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</si>
  <si>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</si>
  <si>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</si>
  <si>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</si>
  <si>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</si>
  <si>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</si>
  <si>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</si>
  <si>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</si>
  <si>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</si>
  <si>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</si>
  <si>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</si>
  <si>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</si>
  <si>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</si>
  <si>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</si>
  <si>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</si>
  <si>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</si>
  <si>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</si>
  <si>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</si>
  <si>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</si>
  <si>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</si>
  <si>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</si>
  <si>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</si>
  <si>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</si>
  <si>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</si>
  <si>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</si>
  <si>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</si>
  <si>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</si>
  <si>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</si>
  <si>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</si>
  <si>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</si>
  <si>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</si>
  <si>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</si>
  <si>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</si>
  <si>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</si>
  <si>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</si>
  <si>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</si>
  <si>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</si>
  <si>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</si>
  <si>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</si>
  <si>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</si>
  <si>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</si>
  <si>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</si>
  <si>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</si>
  <si>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</si>
  <si>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</si>
  <si>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</si>
  <si>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</si>
  <si>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</si>
  <si>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</si>
  <si>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</si>
  <si>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</si>
  <si>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</si>
  <si>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</si>
  <si>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</si>
  <si>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</si>
  <si>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</si>
  <si>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</si>
  <si>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</si>
  <si>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</si>
  <si>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</si>
  <si>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</si>
  <si>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</si>
  <si>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</si>
  <si>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</si>
  <si>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</si>
  <si>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</si>
  <si>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</si>
  <si>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</si>
  <si>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</si>
  <si>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</si>
  <si>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</si>
  <si>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</si>
  <si>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</si>
  <si>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</si>
  <si>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</si>
  <si>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</si>
  <si>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</si>
  <si>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</si>
  <si>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</si>
  <si>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</si>
  <si>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</si>
  <si>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</si>
  <si>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</si>
  <si>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</si>
  <si>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</si>
  <si>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</si>
  <si>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</si>
  <si>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</si>
  <si>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</si>
  <si>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</si>
  <si>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</si>
  <si>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</si>
  <si>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</si>
  <si>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</si>
  <si>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</si>
  <si>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</si>
  <si>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</si>
  <si>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</si>
  <si>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</si>
  <si>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</si>
  <si>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</si>
  <si>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</si>
  <si>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</si>
  <si>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</si>
  <si>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</si>
  <si>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</si>
  <si>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</si>
  <si>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</si>
  <si>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</si>
  <si>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</si>
  <si>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</si>
  <si>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</si>
  <si>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</si>
  <si>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</si>
  <si>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</si>
  <si>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</si>
  <si>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</si>
  <si>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</si>
  <si>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</si>
  <si>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</si>
  <si>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</si>
  <si>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</si>
  <si>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</si>
  <si>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</si>
  <si>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</si>
  <si>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</si>
  <si>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</si>
  <si>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</si>
  <si>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</si>
  <si>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</si>
  <si>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</si>
  <si>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</si>
  <si>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</si>
  <si>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</si>
  <si>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</si>
  <si>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</si>
  <si>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</si>
  <si>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</si>
  <si>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</si>
  <si>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</si>
  <si>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</si>
  <si>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</si>
  <si>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</si>
  <si>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</si>
  <si>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</si>
  <si>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</si>
  <si>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</si>
  <si>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</si>
  <si>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</si>
  <si>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</si>
  <si>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</si>
  <si>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</si>
  <si>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</si>
  <si>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</si>
  <si>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</si>
  <si>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</si>
  <si>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</si>
  <si>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</si>
  <si>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</si>
  <si>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</si>
  <si>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</si>
  <si>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</si>
  <si>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</si>
  <si>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</si>
  <si>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</si>
  <si>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</si>
  <si>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</si>
  <si>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</si>
  <si>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</si>
  <si>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</si>
  <si>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</si>
  <si>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</si>
  <si>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</si>
  <si>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</si>
  <si>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</si>
  <si>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</si>
  <si>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</si>
  <si>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</si>
  <si>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</si>
  <si>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</si>
  <si>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</si>
  <si>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</si>
  <si>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</si>
  <si>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</si>
  <si>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</si>
  <si>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</si>
  <si>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</si>
  <si>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</si>
  <si>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</si>
  <si>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</si>
  <si>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</si>
  <si>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</si>
  <si>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</si>
  <si>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</si>
  <si>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</si>
  <si>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</si>
  <si>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</si>
  <si>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</si>
  <si>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</si>
  <si>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</si>
  <si>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</si>
  <si>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</si>
  <si>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</si>
  <si>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</si>
  <si>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</si>
  <si>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</si>
  <si>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</si>
  <si>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</si>
  <si>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</si>
  <si>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</si>
  <si>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</si>
  <si>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</si>
  <si>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</si>
  <si>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</si>
  <si>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</si>
  <si>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</si>
  <si>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</si>
  <si>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</si>
  <si>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</si>
  <si>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</si>
  <si>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</si>
  <si>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</si>
  <si>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</si>
  <si>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</si>
  <si>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</si>
  <si>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</si>
  <si>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</si>
  <si>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</si>
  <si>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</si>
  <si>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</si>
  <si>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</si>
  <si>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</si>
  <si>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</si>
  <si>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</si>
  <si>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</si>
  <si>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</si>
  <si>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</si>
  <si>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</si>
  <si>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</si>
  <si>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</si>
  <si>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</si>
  <si>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</si>
  <si>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</si>
  <si>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</si>
  <si>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</si>
  <si>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</si>
  <si>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</si>
  <si>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</si>
  <si>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</si>
  <si>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</si>
  <si>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</si>
  <si>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</si>
  <si>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</si>
  <si>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</si>
  <si>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</si>
  <si>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</si>
  <si>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</si>
  <si>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</si>
  <si>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</si>
  <si>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</si>
  <si>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</si>
  <si>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</si>
  <si>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</si>
  <si>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</si>
  <si>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</si>
  <si>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</si>
  <si>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</si>
  <si>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</si>
  <si>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</si>
  <si>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</si>
  <si>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</si>
  <si>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</si>
  <si>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</si>
  <si>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</si>
  <si>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</si>
  <si>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</si>
  <si>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</si>
  <si>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</si>
  <si>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</si>
  <si>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</si>
  <si>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</si>
  <si>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</si>
  <si>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</si>
  <si>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</si>
  <si>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</si>
  <si>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</si>
  <si>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</si>
  <si>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</si>
  <si>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</si>
  <si>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</si>
  <si>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</si>
  <si>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</si>
  <si>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</si>
  <si>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</si>
  <si>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</si>
  <si>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</si>
  <si>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</si>
  <si>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</si>
  <si>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</si>
  <si>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</si>
  <si>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</si>
  <si>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</si>
  <si>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</si>
  <si>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</si>
  <si>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</si>
  <si>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</si>
  <si>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</si>
  <si>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</si>
  <si>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</si>
  <si>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</si>
  <si>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</si>
  <si>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</si>
  <si>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</si>
  <si>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</si>
  <si>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</si>
  <si>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</si>
  <si>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</si>
  <si>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</si>
  <si>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</si>
  <si>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</si>
  <si>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</si>
  <si>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</si>
  <si>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</si>
  <si>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</si>
  <si>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</si>
  <si>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</si>
  <si>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</si>
  <si>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</si>
  <si>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</si>
  <si>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</si>
  <si>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</si>
  <si>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</si>
  <si>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</si>
  <si>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</si>
  <si>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</si>
  <si>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</si>
  <si>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</si>
  <si>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</si>
  <si>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</si>
  <si>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</si>
  <si>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</si>
  <si>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</si>
  <si>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</si>
  <si>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</si>
  <si>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</si>
  <si>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</si>
  <si>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</si>
  <si>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</si>
  <si>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</si>
  <si>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</si>
  <si>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</si>
  <si>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</si>
  <si>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</si>
  <si>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</si>
  <si>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</si>
  <si>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</si>
  <si>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</si>
  <si>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</si>
  <si>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</si>
  <si>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</si>
  <si>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</si>
  <si>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</si>
  <si>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</si>
  <si>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</si>
  <si>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</si>
  <si>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</si>
  <si>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</si>
  <si>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</si>
  <si>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</si>
  <si>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</si>
  <si>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</si>
  <si>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</si>
  <si>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</si>
  <si>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</si>
  <si>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</si>
  <si>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</si>
  <si>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</si>
  <si>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</si>
  <si>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</si>
  <si>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</si>
  <si>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</si>
  <si>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</si>
  <si>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</si>
  <si>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</si>
  <si>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</si>
  <si>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</si>
  <si>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</si>
  <si>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</si>
  <si>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</si>
  <si>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</si>
  <si>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</si>
  <si>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</si>
  <si>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</si>
  <si>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</si>
  <si>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</si>
  <si>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</si>
  <si>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</si>
  <si>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</si>
  <si>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</si>
  <si>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</si>
  <si>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</si>
  <si>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</si>
  <si>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</si>
  <si>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</si>
  <si>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</si>
  <si>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</si>
  <si>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</si>
  <si>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</si>
  <si>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</si>
  <si>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</si>
  <si>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</si>
  <si>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</si>
  <si>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</si>
  <si>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</si>
  <si>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</si>
  <si>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</si>
  <si>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</si>
  <si>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</si>
  <si>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</si>
  <si>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</si>
  <si>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</si>
  <si>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</si>
  <si>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</si>
  <si>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</si>
  <si>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</si>
  <si>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</si>
  <si>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</si>
  <si>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</si>
  <si>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</si>
  <si>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</si>
  <si>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</si>
  <si>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</si>
  <si>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</si>
  <si>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</si>
  <si>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</si>
  <si>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</si>
  <si>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</si>
  <si>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</si>
  <si>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</si>
  <si>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</si>
  <si>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</si>
  <si>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</si>
  <si>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</si>
  <si>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</si>
  <si>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</si>
  <si>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</si>
  <si>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</si>
  <si>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</si>
  <si>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</si>
  <si>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</si>
  <si>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</si>
  <si>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</si>
  <si>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</si>
  <si>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</si>
  <si>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</si>
  <si>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</si>
  <si>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</si>
  <si>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</si>
  <si>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</si>
  <si>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</si>
  <si>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</si>
  <si>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</si>
  <si>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</si>
  <si>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</si>
  <si>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</si>
  <si>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</si>
  <si>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</si>
  <si>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</si>
  <si>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</si>
  <si>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</si>
  <si>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</si>
  <si>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</si>
  <si>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</si>
  <si>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</si>
  <si>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</si>
  <si>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</si>
  <si>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</si>
  <si>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</si>
  <si>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</si>
  <si>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</si>
  <si>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</si>
  <si>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</si>
  <si>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</si>
  <si>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</si>
  <si>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</si>
  <si>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</si>
  <si>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</si>
  <si>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</si>
  <si>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</si>
  <si>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</si>
  <si>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</si>
  <si>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</si>
  <si>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</si>
  <si>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</si>
  <si>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</si>
  <si>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</si>
  <si>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</si>
  <si>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</si>
  <si>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</si>
  <si>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</si>
  <si>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</si>
  <si>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</si>
  <si>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</si>
  <si>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</si>
  <si>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</si>
  <si>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</si>
  <si>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</si>
  <si>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</si>
  <si>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</si>
  <si>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</si>
  <si>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</si>
  <si>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</si>
  <si>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</si>
  <si>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</si>
  <si>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</si>
  <si>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</si>
  <si>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</si>
  <si>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</si>
  <si>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</si>
  <si>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</si>
  <si>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</si>
  <si>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</si>
  <si>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</si>
  <si>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</si>
  <si>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</si>
  <si>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</si>
  <si>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</si>
  <si>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</si>
  <si>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</si>
  <si>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</si>
  <si>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</si>
  <si>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</si>
  <si>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</si>
  <si>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</si>
  <si>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</si>
  <si>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</si>
  <si>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</si>
  <si>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</si>
  <si>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</si>
  <si>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</si>
  <si>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</si>
  <si>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</si>
  <si>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</si>
  <si>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</si>
  <si>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</si>
  <si>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</si>
  <si>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</si>
  <si>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</si>
  <si>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</si>
  <si>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</si>
  <si>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</si>
  <si>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</si>
  <si>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</si>
  <si>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</si>
  <si>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</si>
  <si>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</si>
  <si>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</si>
  <si>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</si>
  <si>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</si>
  <si>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</si>
  <si>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</si>
  <si>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</si>
  <si>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</si>
  <si>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</si>
  <si>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</si>
  <si>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</si>
  <si>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</si>
  <si>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</si>
  <si>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</si>
  <si>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</si>
  <si>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</si>
  <si>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</si>
  <si>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</si>
  <si>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</si>
  <si>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</si>
  <si>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</si>
  <si>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</si>
  <si>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</si>
  <si>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</si>
  <si>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</si>
  <si>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</si>
  <si>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</si>
  <si>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</si>
  <si>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</si>
  <si>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</si>
  <si>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</si>
  <si>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</si>
  <si>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</si>
  <si>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</si>
  <si>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</si>
  <si>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</si>
  <si>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</si>
  <si>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</si>
  <si>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</si>
  <si>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</si>
  <si>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</si>
  <si>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</si>
  <si>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</si>
  <si>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</si>
  <si>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</si>
  <si>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</si>
  <si>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</si>
  <si>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</si>
  <si>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</si>
  <si>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</si>
  <si>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</si>
  <si>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</si>
  <si>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</si>
  <si>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</si>
  <si>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</si>
  <si>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</si>
  <si>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</si>
  <si>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</si>
  <si>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</si>
  <si>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</si>
  <si>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</si>
  <si>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</si>
  <si>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</si>
  <si>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</si>
  <si>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</si>
  <si>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</si>
  <si>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</si>
  <si>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</si>
  <si>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</si>
  <si>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</si>
  <si>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</si>
  <si>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</si>
  <si>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</si>
  <si>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</si>
  <si>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</si>
  <si>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</si>
  <si>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</si>
  <si>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</si>
  <si>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</si>
  <si>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</si>
  <si>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</si>
  <si>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</si>
  <si>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</si>
  <si>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</si>
  <si>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</si>
  <si>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</si>
  <si>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</si>
  <si>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</si>
  <si>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</si>
  <si>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</si>
  <si>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</si>
  <si>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</si>
  <si>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</si>
  <si>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</si>
  <si>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</si>
  <si>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</si>
  <si>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</si>
  <si>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</si>
  <si>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</si>
  <si>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</si>
  <si>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</si>
  <si>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</si>
  <si>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</si>
  <si>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</si>
  <si>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</si>
  <si>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</si>
  <si>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</si>
  <si>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</si>
  <si>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</si>
  <si>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</si>
  <si>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</si>
  <si>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</si>
  <si>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</si>
  <si>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</si>
  <si>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</si>
  <si>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</si>
  <si>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</si>
  <si>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</si>
  <si>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</si>
  <si>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</si>
  <si>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</si>
  <si>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</si>
  <si>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</si>
  <si>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</si>
  <si>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</si>
  <si>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</si>
  <si>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</si>
  <si>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</si>
  <si>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</si>
  <si>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</si>
  <si>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</si>
  <si>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</si>
  <si>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</si>
  <si>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</si>
  <si>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</si>
  <si>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</si>
  <si>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</si>
  <si>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</si>
  <si>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</si>
  <si>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</si>
  <si>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</si>
  <si>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</si>
  <si>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</si>
  <si>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</si>
  <si>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</si>
  <si>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</si>
  <si>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</si>
  <si>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</si>
  <si>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</si>
  <si>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</si>
  <si>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</si>
  <si>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</si>
  <si>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</si>
  <si>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</si>
  <si>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</si>
  <si>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</si>
  <si>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</si>
  <si>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</si>
  <si>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</si>
  <si>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</si>
  <si>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</si>
  <si>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</si>
  <si>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</si>
  <si>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</si>
  <si>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</si>
  <si>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</si>
  <si>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</si>
  <si>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</si>
  <si>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</si>
  <si>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</si>
  <si>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</si>
  <si>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</si>
  <si>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</si>
  <si>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</si>
  <si>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</si>
  <si>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</si>
  <si>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</si>
  <si>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</si>
  <si>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</si>
  <si>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</si>
  <si>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</si>
  <si>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</si>
  <si>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</si>
  <si>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</si>
  <si>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</si>
  <si>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</si>
  <si>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</si>
  <si>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</si>
  <si>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</si>
  <si>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</si>
  <si>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</si>
  <si>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</si>
  <si>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</si>
  <si>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</si>
  <si>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</si>
  <si>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</si>
  <si>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</si>
  <si>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</si>
  <si>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</si>
  <si>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</si>
  <si>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</si>
  <si>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</si>
  <si>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</si>
  <si>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</si>
  <si>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</si>
  <si>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</si>
  <si>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</si>
  <si>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</si>
  <si>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</si>
  <si>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</si>
  <si>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</si>
  <si>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</si>
  <si>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</si>
  <si>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</si>
  <si>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</si>
  <si>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</si>
  <si>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</si>
  <si>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</si>
  <si>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</si>
  <si>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</si>
  <si>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</si>
  <si>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</si>
  <si>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</si>
  <si>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</si>
  <si>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</si>
  <si>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</si>
  <si>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</si>
  <si>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</si>
  <si>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</si>
  <si>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</si>
  <si>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</si>
  <si>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</si>
  <si>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</si>
  <si>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</si>
  <si>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</si>
  <si>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</si>
  <si>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</si>
  <si>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</si>
  <si>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</si>
  <si>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</si>
  <si>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</si>
  <si>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</si>
  <si>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</si>
  <si>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</si>
  <si>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</si>
  <si>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</si>
  <si>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</si>
  <si>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</si>
  <si>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</si>
  <si>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</si>
  <si>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</si>
  <si>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</si>
  <si>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</si>
  <si>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</si>
  <si>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</si>
  <si>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</si>
  <si>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</si>
  <si>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</si>
  <si>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</si>
  <si>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</si>
  <si>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</si>
  <si>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</si>
  <si>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</si>
  <si>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</si>
  <si>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</si>
  <si>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</si>
  <si>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</si>
  <si>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</si>
  <si>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</si>
  <si>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</si>
  <si>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</si>
  <si>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</si>
  <si>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</si>
  <si>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</si>
  <si>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</si>
  <si>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</si>
  <si>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</si>
  <si>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</si>
  <si>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</si>
  <si>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</si>
  <si>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</si>
  <si>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</si>
  <si>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</si>
  <si>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</si>
  <si>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</si>
  <si>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</si>
  <si>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</si>
  <si>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</si>
  <si>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</si>
  <si>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</si>
  <si>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</si>
  <si>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</si>
  <si>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</si>
  <si>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</si>
  <si>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</si>
  <si>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</si>
  <si>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</si>
  <si>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</si>
  <si>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</si>
  <si>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</si>
  <si>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</si>
  <si>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</si>
  <si>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</si>
  <si>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</si>
  <si>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</si>
  <si>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</si>
  <si>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</si>
  <si>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</si>
  <si>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</si>
  <si>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</si>
  <si>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</si>
  <si>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</si>
  <si>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</si>
  <si>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</si>
  <si>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</si>
  <si>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</si>
  <si>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</si>
  <si>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</si>
  <si>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</si>
  <si>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</si>
  <si>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</si>
  <si>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</si>
  <si>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</si>
  <si>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</si>
  <si>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</si>
  <si>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</si>
  <si>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</si>
  <si>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</si>
  <si>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</si>
  <si>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</si>
  <si>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</si>
  <si>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</si>
  <si>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</si>
  <si>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</si>
  <si>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</si>
  <si>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</si>
  <si>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</si>
  <si>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</si>
  <si>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</si>
  <si>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</si>
  <si>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</si>
  <si>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</si>
  <si>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</si>
  <si>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</si>
  <si>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</si>
  <si>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</si>
  <si>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</si>
  <si>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</si>
  <si>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</si>
  <si>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</si>
  <si>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</si>
  <si>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</si>
  <si>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</si>
  <si>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</si>
  <si>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</si>
  <si>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</si>
  <si>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</si>
  <si>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</si>
  <si>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</si>
  <si>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</si>
  <si>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</si>
  <si>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</si>
  <si>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</si>
  <si>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</si>
  <si>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</si>
  <si>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</si>
  <si>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</si>
  <si>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</si>
  <si>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</si>
  <si>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</si>
  <si>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</si>
  <si>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</si>
  <si>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</si>
  <si>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</si>
  <si>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</si>
  <si>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</si>
  <si>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</si>
  <si>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</si>
  <si>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</si>
  <si>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</si>
  <si>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</si>
  <si>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</si>
  <si>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</si>
  <si>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</si>
  <si>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</si>
  <si>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</si>
  <si>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</si>
  <si>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</si>
  <si>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</si>
  <si>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</si>
  <si>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</si>
  <si>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</si>
  <si>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</si>
  <si>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</si>
  <si>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</si>
  <si>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</si>
  <si>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</si>
  <si>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</si>
  <si>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</si>
  <si>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</si>
  <si>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</si>
  <si>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</si>
  <si>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</si>
  <si>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</si>
  <si>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</si>
  <si>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</si>
  <si>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</si>
  <si>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</si>
  <si>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</si>
  <si>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</si>
  <si>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</si>
  <si>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</si>
  <si>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</si>
  <si>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</si>
  <si>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</si>
  <si>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</si>
  <si>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</si>
  <si>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</si>
  <si>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</si>
  <si>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</si>
  <si>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</si>
  <si>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</si>
  <si>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</si>
  <si>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</si>
  <si>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</si>
  <si>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</si>
  <si>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</si>
  <si>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</si>
  <si>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</si>
  <si>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</si>
  <si>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</si>
  <si>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</si>
  <si>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</si>
  <si>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</si>
  <si>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</si>
  <si>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</si>
  <si>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</si>
  <si>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</si>
  <si>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</si>
  <si>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</si>
  <si>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</si>
  <si>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</si>
  <si>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</si>
  <si>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</si>
  <si>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</si>
  <si>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</si>
  <si>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</si>
  <si>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</si>
  <si>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</si>
  <si>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</si>
  <si>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</si>
  <si>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</si>
  <si>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</si>
  <si>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</si>
  <si>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</si>
  <si>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</si>
  <si>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</si>
  <si>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</si>
  <si>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</si>
  <si>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</si>
  <si>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</si>
  <si>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</si>
  <si>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</si>
  <si>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</si>
  <si>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</si>
  <si>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</si>
  <si>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</si>
  <si>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</si>
  <si>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</si>
  <si>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</si>
  <si>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</si>
  <si>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</si>
  <si>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</si>
  <si>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</si>
  <si>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</si>
  <si>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</si>
  <si>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</si>
  <si>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</si>
  <si>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</si>
  <si>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</si>
  <si>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</si>
  <si>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</si>
  <si>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</si>
  <si>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</si>
  <si>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</si>
  <si>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</si>
  <si>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</si>
  <si>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</si>
  <si>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</si>
  <si>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</si>
  <si>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</si>
  <si>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</si>
  <si>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</si>
  <si>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</si>
  <si>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</si>
  <si>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</si>
  <si>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</si>
  <si>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</si>
  <si>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</si>
  <si>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</si>
  <si>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</si>
  <si>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</si>
  <si>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</si>
  <si>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</si>
  <si>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</si>
  <si>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</si>
  <si>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</si>
  <si>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</si>
  <si>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</si>
  <si>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</si>
  <si>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</si>
  <si>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</si>
  <si>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</si>
  <si>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</si>
  <si>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</si>
  <si>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</si>
  <si>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</si>
  <si>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</si>
  <si>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</si>
  <si>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</si>
  <si>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</si>
  <si>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</si>
  <si>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</si>
  <si>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</si>
  <si>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</si>
  <si>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</si>
  <si>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</si>
  <si>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</si>
  <si>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</si>
  <si>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</si>
  <si>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</si>
  <si>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</si>
  <si>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</si>
  <si>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</si>
  <si>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</si>
  <si>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</si>
  <si>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</si>
  <si>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</si>
  <si>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</si>
  <si>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</si>
  <si>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</si>
  <si>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</si>
  <si>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</si>
  <si>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</si>
  <si>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</si>
  <si>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</si>
  <si>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</si>
  <si>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</si>
  <si>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</si>
  <si>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</si>
  <si>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</si>
  <si>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</si>
  <si>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</si>
  <si>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</si>
  <si>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</si>
  <si>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</si>
  <si>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</si>
  <si>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</si>
  <si>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</si>
  <si>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</si>
  <si>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</si>
  <si>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</si>
  <si>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</si>
  <si>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</si>
  <si>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</si>
  <si>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</si>
  <si>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</si>
  <si>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</si>
  <si>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</si>
  <si>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</si>
  <si>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</si>
  <si>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</si>
  <si>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</si>
  <si>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</si>
  <si>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</si>
  <si>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</si>
  <si>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</si>
  <si>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</si>
  <si>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</si>
  <si>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</si>
  <si>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</si>
  <si>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</si>
  <si>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</si>
  <si>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</si>
  <si>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</si>
  <si>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</si>
  <si>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</si>
  <si>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</si>
  <si>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</si>
  <si>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</si>
  <si>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</si>
  <si>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</si>
  <si>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</si>
  <si>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</si>
  <si>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</si>
  <si>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</si>
  <si>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</si>
  <si>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</si>
  <si>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</si>
  <si>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</si>
  <si>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</si>
  <si>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</si>
  <si>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</si>
  <si>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</si>
  <si>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</si>
  <si>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</si>
  <si>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</si>
  <si>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</si>
  <si>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</si>
  <si>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</si>
  <si>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</si>
  <si>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</si>
  <si>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</si>
  <si>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</si>
  <si>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</si>
  <si>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</si>
  <si>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</si>
  <si>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</si>
  <si>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</si>
  <si>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</si>
  <si>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</si>
  <si>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</si>
  <si>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</si>
  <si>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</si>
  <si>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</si>
  <si>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</si>
  <si>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</si>
  <si>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</si>
  <si>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</si>
  <si>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</si>
  <si>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</si>
  <si>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</si>
  <si>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</si>
  <si>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</si>
  <si>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</si>
  <si>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</si>
  <si>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</si>
  <si>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</si>
  <si>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</si>
  <si>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</si>
  <si>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</si>
  <si>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</si>
  <si>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</si>
  <si>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</si>
  <si>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</si>
  <si>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</si>
  <si>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</si>
  <si>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</si>
  <si>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</si>
  <si>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</si>
  <si>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</si>
  <si>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</si>
  <si>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</si>
  <si>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</si>
  <si>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</si>
  <si>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</si>
  <si>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</si>
  <si>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</si>
  <si>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</si>
  <si>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</si>
  <si>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</si>
  <si>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</si>
  <si>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</si>
  <si>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</si>
  <si>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</si>
  <si>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</si>
  <si>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</si>
  <si>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</si>
  <si>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</si>
  <si>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</si>
  <si>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</si>
  <si>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</si>
  <si>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</si>
  <si>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</si>
  <si>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</si>
  <si>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</si>
  <si>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</si>
  <si>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</si>
  <si>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</si>
  <si>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</si>
  <si>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</si>
  <si>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</si>
  <si>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</si>
  <si>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</si>
  <si>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</si>
  <si>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</si>
  <si>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</si>
  <si>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</si>
  <si>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</si>
  <si>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</si>
  <si>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</si>
  <si>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</si>
  <si>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</si>
  <si>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</si>
  <si>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</si>
  <si>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</si>
  <si>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</si>
  <si>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</si>
  <si>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</si>
  <si>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</si>
  <si>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</si>
  <si>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</si>
  <si>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</si>
  <si>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</si>
  <si>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</si>
  <si>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</si>
  <si>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</si>
  <si>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</si>
  <si>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</si>
  <si>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</si>
  <si>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</si>
  <si>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</si>
  <si>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</si>
  <si>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</si>
  <si>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</si>
  <si>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</si>
  <si>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</si>
  <si>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</si>
  <si>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</si>
  <si>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</si>
  <si>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</si>
  <si>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</si>
  <si>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</si>
  <si>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</si>
  <si>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</si>
  <si>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</si>
  <si>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</si>
  <si>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</si>
  <si>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</si>
  <si>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</si>
  <si>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</si>
  <si>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</si>
  <si>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</si>
  <si>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</si>
  <si>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</si>
  <si>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</si>
  <si>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</si>
  <si>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</si>
  <si>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</si>
  <si>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</si>
  <si>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</si>
  <si>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</si>
  <si>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</si>
  <si>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</si>
  <si>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</si>
  <si>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</si>
  <si>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</si>
  <si>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</si>
  <si>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</si>
  <si>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</si>
  <si>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</si>
  <si>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</si>
  <si>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</si>
  <si>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</si>
  <si>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</si>
  <si>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</si>
  <si>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</si>
  <si>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</si>
  <si>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</si>
  <si>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</si>
  <si>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</si>
  <si>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</si>
  <si>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</si>
  <si>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</si>
  <si>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</si>
  <si>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</si>
  <si>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</si>
  <si>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</si>
  <si>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</si>
  <si>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</si>
  <si>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</si>
  <si>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</si>
  <si>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</si>
  <si>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</si>
  <si>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</si>
  <si>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</si>
  <si>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</si>
  <si>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</si>
  <si>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</si>
  <si>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</si>
  <si>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</si>
  <si>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</si>
  <si>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</si>
  <si>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</si>
  <si>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</si>
  <si>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</si>
  <si>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</si>
  <si>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</si>
  <si>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</si>
  <si>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</si>
  <si>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</si>
  <si>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</si>
  <si>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</si>
  <si>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</si>
  <si>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</si>
  <si>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</si>
  <si>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</si>
  <si>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</si>
  <si>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</si>
  <si>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</si>
  <si>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</si>
  <si>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</si>
  <si>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</si>
  <si>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</si>
  <si>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</si>
  <si>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</si>
  <si>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</si>
  <si>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</si>
  <si>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</si>
  <si>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</si>
  <si>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</si>
  <si>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</si>
  <si>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</si>
  <si>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</si>
  <si>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</si>
  <si>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</si>
  <si>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</si>
  <si>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</si>
  <si>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</si>
  <si>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</si>
  <si>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</si>
  <si>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</si>
  <si>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</si>
  <si>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</si>
  <si>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</si>
  <si>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</si>
  <si>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</si>
  <si>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</si>
  <si>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</si>
  <si>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</si>
  <si>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</si>
  <si>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</si>
  <si>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</si>
  <si>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</si>
  <si>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</si>
  <si>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</si>
  <si>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</si>
  <si>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</si>
  <si>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</si>
  <si>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</si>
  <si>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</si>
  <si>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</si>
  <si>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</si>
  <si>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</si>
  <si>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</si>
  <si>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</si>
  <si>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</si>
  <si>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</si>
  <si>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</si>
  <si>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</si>
  <si>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</si>
  <si>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</si>
  <si>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</si>
  <si>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</si>
  <si>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</si>
  <si>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</si>
  <si>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</si>
  <si>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</si>
  <si>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</si>
  <si>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</si>
  <si>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</si>
  <si>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</si>
  <si>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</si>
  <si>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</si>
  <si>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</si>
  <si>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</si>
  <si>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</si>
  <si>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</si>
  <si>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</si>
  <si>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</si>
  <si>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</si>
  <si>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</si>
  <si>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</si>
  <si>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</si>
  <si>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</si>
  <si>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</si>
  <si>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</si>
  <si>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</si>
  <si>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</si>
  <si>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</si>
  <si>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</si>
  <si>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</si>
  <si>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</si>
  <si>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</si>
  <si>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</si>
  <si>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</si>
  <si>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</si>
  <si>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</si>
  <si>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</si>
  <si>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</si>
  <si>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</si>
  <si>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</si>
  <si>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</si>
  <si>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</si>
  <si>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</si>
  <si>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</si>
  <si>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</si>
  <si>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</si>
  <si>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</si>
  <si>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</si>
  <si>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</si>
  <si>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</si>
  <si>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</si>
  <si>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</si>
  <si>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</si>
  <si>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</si>
  <si>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</si>
  <si>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</si>
  <si>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</si>
  <si>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</si>
  <si>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</si>
  <si>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</si>
  <si>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</si>
  <si>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</si>
  <si>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</si>
  <si>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</si>
  <si>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</si>
  <si>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</si>
  <si>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</si>
  <si>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</si>
  <si>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</si>
  <si>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</si>
  <si>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</si>
  <si>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</si>
  <si>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</si>
  <si>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</si>
  <si>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</si>
  <si>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</si>
  <si>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</si>
  <si>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</si>
  <si>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</si>
  <si>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</si>
  <si>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</si>
  <si>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</si>
  <si>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</si>
  <si>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</si>
  <si>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</si>
  <si>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</si>
  <si>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</si>
  <si>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</si>
  <si>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</si>
  <si>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</si>
  <si>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</si>
  <si>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</si>
  <si>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</si>
  <si>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</si>
  <si>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</si>
  <si>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</si>
  <si>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</si>
  <si>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</si>
  <si>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</si>
  <si>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</si>
  <si>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</si>
  <si>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</si>
  <si>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</si>
  <si>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</si>
  <si>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</si>
  <si>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</si>
  <si>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</si>
  <si>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</si>
  <si>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</si>
  <si>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</si>
  <si>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</si>
  <si>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</si>
  <si>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</si>
  <si>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</si>
  <si>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</si>
  <si>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</si>
  <si>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</si>
  <si>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</si>
  <si>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</si>
  <si>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</si>
  <si>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</si>
  <si>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</si>
  <si>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</si>
  <si>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</si>
  <si>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</si>
  <si>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</si>
  <si>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</si>
  <si>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</si>
  <si>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</si>
  <si>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</si>
  <si>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</si>
  <si>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</si>
  <si>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</si>
  <si>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</si>
  <si>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</si>
  <si>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</si>
  <si>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</si>
  <si>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</si>
  <si>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</si>
  <si>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</si>
  <si>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</si>
  <si>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</si>
  <si>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</si>
  <si>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</si>
  <si>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</si>
  <si>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</si>
  <si>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</si>
  <si>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</si>
  <si>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</si>
  <si>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</si>
  <si>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</si>
  <si>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</si>
  <si>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</si>
  <si>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</si>
  <si>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</si>
  <si>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</si>
  <si>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</si>
  <si>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</si>
  <si>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</si>
  <si>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</si>
  <si>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</si>
  <si>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</si>
  <si>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</si>
  <si>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</si>
  <si>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</si>
  <si>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</si>
  <si>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</si>
  <si>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</si>
  <si>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</si>
  <si>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</si>
  <si>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</si>
  <si>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</si>
  <si>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</si>
  <si>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</si>
  <si>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</si>
  <si>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</si>
  <si>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</si>
  <si>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</si>
  <si>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</si>
  <si>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</si>
  <si>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</si>
  <si>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</si>
  <si>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</si>
  <si>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</si>
  <si>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</si>
  <si>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</si>
  <si>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</si>
  <si>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</si>
  <si>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</si>
  <si>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</si>
  <si>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</si>
  <si>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</si>
  <si>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</si>
  <si>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</si>
  <si>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</si>
  <si>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</si>
  <si>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</si>
  <si>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</si>
  <si>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</si>
  <si>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</si>
  <si>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</si>
  <si>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</si>
  <si>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</si>
  <si>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</si>
  <si>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</si>
  <si>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</si>
  <si>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</si>
  <si>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</si>
  <si>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</si>
  <si>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</si>
  <si>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</si>
  <si>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</si>
  <si>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</si>
  <si>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</si>
  <si>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</si>
  <si>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</si>
  <si>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</si>
  <si>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</si>
  <si>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</si>
  <si>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</si>
  <si>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</si>
  <si>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</si>
  <si>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</si>
  <si>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</si>
  <si>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</si>
  <si>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</si>
  <si>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</si>
  <si>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</si>
  <si>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</si>
  <si>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</si>
  <si>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</si>
  <si>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</si>
  <si>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</si>
  <si>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</si>
  <si>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</si>
  <si>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</si>
  <si>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</si>
  <si>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</si>
  <si>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</si>
  <si>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</si>
  <si>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</si>
  <si>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</si>
  <si>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</si>
  <si>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</si>
  <si>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</si>
  <si>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</si>
  <si>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</si>
  <si>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</si>
  <si>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</si>
  <si>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</si>
  <si>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</si>
  <si>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</si>
  <si>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</si>
  <si>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</si>
  <si>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</si>
  <si>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</si>
  <si>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</si>
  <si>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</si>
  <si>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</si>
  <si>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</si>
  <si>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</si>
  <si>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</si>
  <si>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</si>
  <si>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</si>
  <si>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</si>
  <si>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</si>
  <si>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</si>
  <si>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</si>
  <si>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</si>
  <si>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</si>
  <si>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</si>
  <si>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</si>
  <si>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</si>
  <si>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</si>
  <si>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</si>
  <si>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</si>
  <si>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</si>
  <si>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</si>
  <si>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</si>
  <si>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</si>
  <si>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</si>
  <si>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</si>
  <si>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</si>
  <si>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</si>
  <si>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</si>
  <si>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</si>
  <si>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</si>
  <si>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</si>
  <si>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</si>
  <si>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</si>
  <si>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</si>
  <si>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</si>
  <si>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</si>
  <si>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</si>
  <si>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</si>
  <si>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</si>
  <si>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</si>
  <si>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</si>
  <si>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</si>
  <si>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</si>
  <si>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</si>
  <si>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</si>
  <si>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</si>
  <si>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</si>
  <si>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</si>
  <si>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</si>
  <si>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</si>
  <si>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</si>
  <si>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</si>
  <si>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</si>
  <si>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</si>
  <si>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</si>
  <si>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</si>
  <si>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</si>
  <si>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</si>
  <si>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</si>
  <si>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</si>
  <si>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</si>
  <si>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</si>
  <si>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</si>
  <si>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</si>
  <si>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</si>
  <si>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</si>
  <si>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</si>
  <si>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</si>
  <si>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</si>
  <si>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</si>
  <si>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</si>
  <si>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</si>
  <si>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</si>
  <si>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</si>
  <si>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</si>
  <si>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</si>
  <si>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</si>
  <si>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</si>
  <si>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</si>
  <si>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</si>
  <si>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</si>
  <si>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</si>
  <si>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</si>
  <si>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</si>
  <si>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</si>
  <si>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</si>
  <si>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</si>
  <si>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</si>
  <si>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</si>
  <si>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</si>
  <si>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</si>
  <si>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</si>
  <si>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</si>
  <si>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</si>
  <si>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</si>
  <si>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</si>
  <si>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</si>
  <si>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</si>
  <si>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</si>
  <si>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</si>
  <si>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</si>
  <si>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</si>
  <si>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</si>
  <si>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</si>
  <si>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</si>
  <si>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</si>
  <si>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</si>
  <si>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</si>
  <si>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</si>
  <si>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</si>
  <si>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</si>
  <si>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</si>
  <si>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</si>
  <si>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</si>
  <si>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</si>
  <si>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</si>
  <si>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</si>
  <si>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</si>
  <si>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</si>
  <si>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</si>
  <si>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</si>
  <si>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</si>
  <si>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</si>
  <si>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</si>
  <si>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</si>
  <si>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</si>
  <si>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</si>
  <si>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</si>
  <si>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</si>
  <si>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</si>
  <si>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</si>
  <si>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</si>
  <si>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</si>
  <si>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</si>
  <si>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</si>
  <si>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</si>
  <si>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</si>
  <si>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</si>
  <si>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</si>
  <si>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</si>
  <si>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</si>
  <si>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</si>
  <si>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</si>
  <si>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</si>
  <si>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</si>
  <si>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</si>
  <si>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</si>
  <si>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</si>
  <si>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</si>
  <si>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</si>
  <si>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</si>
  <si>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</si>
  <si>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</si>
  <si>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</si>
  <si>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</si>
  <si>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</si>
  <si>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</si>
  <si>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</si>
  <si>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</si>
  <si>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</si>
  <si>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</si>
  <si>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</si>
  <si>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</si>
  <si>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</si>
  <si>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</si>
  <si>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</si>
  <si>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</si>
  <si>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</si>
  <si>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</si>
  <si>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</si>
  <si>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</si>
  <si>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</si>
  <si>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</si>
  <si>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</si>
  <si>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</si>
  <si>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</si>
  <si>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</si>
  <si>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</si>
  <si>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</si>
  <si>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</si>
  <si>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</si>
  <si>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</si>
  <si>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</si>
  <si>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</si>
  <si>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</si>
  <si>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</si>
  <si>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</si>
  <si>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</si>
  <si>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</si>
  <si>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</si>
  <si>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</si>
  <si>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</si>
  <si>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</si>
  <si>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</si>
  <si>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</si>
  <si>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</si>
  <si>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</si>
  <si>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</si>
  <si>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</si>
  <si>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</si>
  <si>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</si>
  <si>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</si>
  <si>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</si>
  <si>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</si>
  <si>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</si>
  <si>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</si>
  <si>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</si>
  <si>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</si>
  <si>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</si>
  <si>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</si>
  <si>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</si>
  <si>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</si>
  <si>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</si>
  <si>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</si>
  <si>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</si>
  <si>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</si>
  <si>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</si>
  <si>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</si>
  <si>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</si>
  <si>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</si>
  <si>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</si>
  <si>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</si>
  <si>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</si>
  <si>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</si>
  <si>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</si>
  <si>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</si>
  <si>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</si>
  <si>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</si>
  <si>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</si>
  <si>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</si>
  <si>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</si>
  <si>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</si>
  <si>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</si>
  <si>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</si>
  <si>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</si>
  <si>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</si>
  <si>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</si>
  <si>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</si>
  <si>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</si>
  <si>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</si>
  <si>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</si>
  <si>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</si>
  <si>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</si>
  <si>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</si>
  <si>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</si>
  <si>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</si>
  <si>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</si>
  <si>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</si>
  <si>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</si>
  <si>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</si>
  <si>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</si>
  <si>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</si>
  <si>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</si>
  <si>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</si>
  <si>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</si>
  <si>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</si>
  <si>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</si>
  <si>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</si>
  <si>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</si>
  <si>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</si>
  <si>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</si>
  <si>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</si>
  <si>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</si>
  <si>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</si>
  <si>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</si>
  <si>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</si>
  <si>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</si>
  <si>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</si>
  <si>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</si>
  <si>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</si>
  <si>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</si>
  <si>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</si>
  <si>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</si>
  <si>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</si>
  <si>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</si>
  <si>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</si>
  <si>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</si>
  <si>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</si>
  <si>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</si>
  <si>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</si>
  <si>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</si>
  <si>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</si>
  <si>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</si>
  <si>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</si>
  <si>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</si>
  <si>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</si>
  <si>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</si>
  <si>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</si>
  <si>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</si>
  <si>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</si>
  <si>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</si>
  <si>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</si>
  <si>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</si>
  <si>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</si>
  <si>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</si>
  <si>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</si>
  <si>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</si>
  <si>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</si>
  <si>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</si>
  <si>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</si>
  <si>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</si>
  <si>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</si>
  <si>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</si>
  <si>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</si>
  <si>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</si>
  <si>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</si>
  <si>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</si>
  <si>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</si>
  <si>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</si>
  <si>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</si>
  <si>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</si>
  <si>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</si>
  <si>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</si>
  <si>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</si>
  <si>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</si>
  <si>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</si>
  <si>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</si>
  <si>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</si>
  <si>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</si>
  <si>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</si>
  <si>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</si>
  <si>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</si>
  <si>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</si>
  <si>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</si>
  <si>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</si>
  <si>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</si>
  <si>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</si>
  <si>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</si>
  <si>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</si>
  <si>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</si>
  <si>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</si>
  <si>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</si>
  <si>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</si>
  <si>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</si>
  <si>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</si>
  <si>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</si>
  <si>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</si>
  <si>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</si>
  <si>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</si>
  <si>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</si>
  <si>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</si>
  <si>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</si>
  <si>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</si>
  <si>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</si>
  <si>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</si>
  <si>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</si>
  <si>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</si>
  <si>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</si>
  <si>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</si>
  <si>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</si>
  <si>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</si>
  <si>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</si>
  <si>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</si>
  <si>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</si>
  <si>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</si>
  <si>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</si>
  <si>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</si>
  <si>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</si>
  <si>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</si>
  <si>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</si>
  <si>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</si>
  <si>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</si>
  <si>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</si>
  <si>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</si>
  <si>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</si>
  <si>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</si>
  <si>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</si>
  <si>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</si>
  <si>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</si>
  <si>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</si>
  <si>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</si>
  <si>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</si>
  <si>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</si>
  <si>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</si>
  <si>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</si>
  <si>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</si>
  <si>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</si>
  <si>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</si>
  <si>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</si>
  <si>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</si>
  <si>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</si>
  <si>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</si>
  <si>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</si>
  <si>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</si>
  <si>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</si>
  <si>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</si>
  <si>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</si>
  <si>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</si>
  <si>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</si>
  <si>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</si>
  <si>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</si>
  <si>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</si>
  <si>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</si>
  <si>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</si>
  <si>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</si>
  <si>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</si>
  <si>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</si>
  <si>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</si>
  <si>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</si>
  <si>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</si>
  <si>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</si>
  <si>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</si>
  <si>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</si>
  <si>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</si>
  <si>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</si>
  <si>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</si>
  <si>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</si>
  <si>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</si>
  <si>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</si>
  <si>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</si>
  <si>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</si>
  <si>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</si>
  <si>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</si>
  <si>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</si>
  <si>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</si>
  <si>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</si>
  <si>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</si>
  <si>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</si>
  <si>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</si>
  <si>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</si>
  <si>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</si>
  <si>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</si>
  <si>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</si>
  <si>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</si>
  <si>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</si>
  <si>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</si>
  <si>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</si>
  <si>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</si>
  <si>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</si>
  <si>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</si>
  <si>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</si>
  <si>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</si>
  <si>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</si>
  <si>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</si>
  <si>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</si>
  <si>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</si>
  <si>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</si>
  <si>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</si>
  <si>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</si>
  <si>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</si>
  <si>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</si>
  <si>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</si>
  <si>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</si>
  <si>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</si>
  <si>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</si>
  <si>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</si>
  <si>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</si>
  <si>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</si>
  <si>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</si>
  <si>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</si>
  <si>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</si>
  <si>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</si>
  <si>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</si>
  <si>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</si>
  <si>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</si>
  <si>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</si>
  <si>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</si>
  <si>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</si>
  <si>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</si>
  <si>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</si>
  <si>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</si>
  <si>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</si>
  <si>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</si>
  <si>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</si>
  <si>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</si>
  <si>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</si>
  <si>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</si>
  <si>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</si>
  <si>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</si>
  <si>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</si>
  <si>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</si>
  <si>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</si>
  <si>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</si>
  <si>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</si>
  <si>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</si>
  <si>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</si>
  <si>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</si>
  <si>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</si>
  <si>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</si>
  <si>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</si>
  <si>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</si>
  <si>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</si>
  <si>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</si>
  <si>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</si>
  <si>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</si>
  <si>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</si>
  <si>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</si>
  <si>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</si>
  <si>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</si>
  <si>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</si>
  <si>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</si>
  <si>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</si>
  <si>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</si>
  <si>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</si>
  <si>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</si>
  <si>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</si>
  <si>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</si>
  <si>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</si>
  <si>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</si>
  <si>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</si>
  <si>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</si>
  <si>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</si>
  <si>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</si>
  <si>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</si>
  <si>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</si>
  <si>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</si>
  <si>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</si>
  <si>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</si>
  <si>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</si>
  <si>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</si>
  <si>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</si>
  <si>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</si>
  <si>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</si>
  <si>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</si>
  <si>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</si>
  <si>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</si>
  <si>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</si>
  <si>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</si>
  <si>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</si>
  <si>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</si>
  <si>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</si>
  <si>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</si>
  <si>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</si>
  <si>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</si>
  <si>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</si>
  <si>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</si>
  <si>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</si>
  <si>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</si>
  <si>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</si>
  <si>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</si>
  <si>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</si>
  <si>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</si>
  <si>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</si>
  <si>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</si>
  <si>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</si>
  <si>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</si>
  <si>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</si>
  <si>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</si>
  <si>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</si>
  <si>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</si>
  <si>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</si>
  <si>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</si>
  <si>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</si>
  <si>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</si>
  <si>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</si>
  <si>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</si>
  <si>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</si>
  <si>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</si>
  <si>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</si>
  <si>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</si>
  <si>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</si>
  <si>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</si>
  <si>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</si>
  <si>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</si>
  <si>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</si>
  <si>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</si>
  <si>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</si>
  <si>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</si>
  <si>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</si>
  <si>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</si>
  <si>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</si>
  <si>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</si>
  <si>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</si>
  <si>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</si>
  <si>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</si>
  <si>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</si>
  <si>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</si>
  <si>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</si>
  <si>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</si>
  <si>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</si>
  <si>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</si>
  <si>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</si>
  <si>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</si>
  <si>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</si>
  <si>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</si>
  <si>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</si>
  <si>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</si>
  <si>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</si>
  <si>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</si>
  <si>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</si>
  <si>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</si>
  <si>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</si>
  <si>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</si>
  <si>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</si>
  <si>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</si>
  <si>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</si>
  <si>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</si>
  <si>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</si>
  <si>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</si>
  <si>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</si>
  <si>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</si>
  <si>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</si>
  <si>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</si>
  <si>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</si>
  <si>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</si>
  <si>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</si>
  <si>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</si>
  <si>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</si>
  <si>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</si>
  <si>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</si>
  <si>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</si>
  <si>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</si>
  <si>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</si>
  <si>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</si>
  <si>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</si>
  <si>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</si>
  <si>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</si>
  <si>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</si>
  <si>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</si>
  <si>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</si>
  <si>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</si>
  <si>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</si>
  <si>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</si>
  <si>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</si>
  <si>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</si>
  <si>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</si>
  <si>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</si>
  <si>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</si>
  <si>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</si>
  <si>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</si>
  <si>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</si>
  <si>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</si>
  <si>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</si>
  <si>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</si>
  <si>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</si>
  <si>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</si>
  <si>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</si>
  <si>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</si>
  <si>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</si>
  <si>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</si>
  <si>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</si>
  <si>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</si>
  <si>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</si>
  <si>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</si>
  <si>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</si>
  <si>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</si>
  <si>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</si>
  <si>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</si>
  <si>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</si>
  <si>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</si>
  <si>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</si>
  <si>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</si>
  <si>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</si>
  <si>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</si>
  <si>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</si>
  <si>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</si>
  <si>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</si>
  <si>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</si>
  <si>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</si>
  <si>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</si>
  <si>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</si>
  <si>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</si>
  <si>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</si>
  <si>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</si>
  <si>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</si>
  <si>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</si>
  <si>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</si>
  <si>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</si>
  <si>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</si>
  <si>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</si>
  <si>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</si>
  <si>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</si>
  <si>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</si>
  <si>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</si>
  <si>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</si>
  <si>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</si>
  <si>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</si>
  <si>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</si>
  <si>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</si>
  <si>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</si>
  <si>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</si>
  <si>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</si>
  <si>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</si>
  <si>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</si>
  <si>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</si>
  <si>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</si>
  <si>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</si>
  <si>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</si>
  <si>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</si>
  <si>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</si>
  <si>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</si>
  <si>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</si>
  <si>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</si>
  <si>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</si>
  <si>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</si>
  <si>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</si>
  <si>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</si>
  <si>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</si>
  <si>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</si>
  <si>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</si>
  <si>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</si>
  <si>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</si>
  <si>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</si>
  <si>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</si>
  <si>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</si>
  <si>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</si>
  <si>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Cruzzini</t>
  </si>
  <si>
    <t xml:space="preserve">Azzana</t>
  </si>
  <si>
    <t xml:space="preserve">06215850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</si>
  <si>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</si>
  <si>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</si>
  <si>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</si>
  <si>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</si>
  <si>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</si>
  <si>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</si>
  <si>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</si>
  <si>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</si>
  <si>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</si>
  <si>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</si>
  <si>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</si>
  <si>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</si>
  <si>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</si>
  <si>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</si>
  <si>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</si>
  <si>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</si>
  <si>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</si>
  <si>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</si>
  <si>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</si>
  <si>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</si>
  <si>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</si>
  <si>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</si>
  <si>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</si>
  <si>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</si>
  <si>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</si>
  <si>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</si>
  <si>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</si>
  <si>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</si>
  <si>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</si>
  <si>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</si>
  <si>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</si>
  <si>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</si>
  <si>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</si>
  <si>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</si>
  <si>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</si>
  <si>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</si>
  <si>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</si>
  <si>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</si>
  <si>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</si>
  <si>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</si>
  <si>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</si>
  <si>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</si>
  <si>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</si>
  <si>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</si>
  <si>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</si>
  <si>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</si>
  <si>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</si>
  <si>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</si>
  <si>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</si>
  <si>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</si>
  <si>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(0,23 %)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</si>
  <si>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</si>
  <si>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</si>
  <si>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</si>
  <si>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</si>
  <si>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</si>
  <si>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</si>
  <si>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</si>
  <si>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</si>
  <si>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</si>
  <si>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</si>
  <si>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</si>
  <si>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</si>
  <si>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</si>
  <si>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</si>
  <si>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</si>
  <si>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</si>
  <si>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</si>
  <si>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</si>
  <si>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</si>
  <si>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</si>
  <si>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Calothrix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</si>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</sst>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5" fontId="101" fillId="0" borderId="0" xfId="0" applyFont="true" applyBorder="false" applyAlignment="false" applyProtection="true">
      <alignment horizontal="general" vertical="bottom"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14.2777777777778</v>
      </c>
      <c r="M5" s="323"/>
      <c r="N5" s="324" t="s">
        <v>1019</v>
      </c>
      <c r="O5" s="325" t="n">
        <v>13.5333333333333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85</v>
      </c>
      <c r="C7" s="337" t="n">
        <v>15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8.85714285714286</v>
      </c>
      <c r="O8" s="354" t="n">
        <f aca="false">IF(ISERROR(AVERAGE(J23:J82)),"      -",AVERAGE(J23:J82))</f>
        <v>1.28571428571429</v>
      </c>
      <c r="P8" s="355"/>
      <c r="Q8" s="280"/>
      <c r="R8" s="280"/>
      <c r="S8" s="280"/>
      <c r="T8" s="280"/>
      <c r="U8" s="280"/>
      <c r="V8" s="280"/>
      <c r="W8" s="292"/>
      <c r="X8" s="293"/>
    </row>
    <row r="9" customFormat="false" ht="13.5" hidden="false" customHeight="false" outlineLevel="0" collapsed="false">
      <c r="A9" s="313" t="s">
        <v>2635</v>
      </c>
      <c r="B9" s="356" t="n">
        <v>0.2</v>
      </c>
      <c r="C9" s="357" t="n">
        <v>0.3</v>
      </c>
      <c r="D9" s="358"/>
      <c r="E9" s="358"/>
      <c r="F9" s="359" t="n">
        <f aca="false">($B9*$B$7+$C9*$C$7)/100</f>
        <v>0.215</v>
      </c>
      <c r="G9" s="360"/>
      <c r="H9" s="361"/>
      <c r="I9" s="362"/>
      <c r="J9" s="363"/>
      <c r="K9" s="343"/>
      <c r="L9" s="364"/>
      <c r="M9" s="353" t="s">
        <v>2636</v>
      </c>
      <c r="N9" s="354" t="n">
        <f aca="false">IF(ISERROR(STDEVP(I23:I82)),"     -",STDEVP(I23:I82))</f>
        <v>6.85416602051152</v>
      </c>
      <c r="O9" s="354" t="n">
        <f aca="false">IF(ISERROR(STDEVP(J23:J82)),"      -",STDEVP(J23:J82))</f>
        <v>1.0973065354098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3</v>
      </c>
      <c r="L13" s="386"/>
      <c r="M13" s="397" t="s">
        <v>2648</v>
      </c>
      <c r="N13" s="398" t="n">
        <f aca="false">COUNTIF(F23:F82,"&gt;0")</f>
        <v>15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14</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2</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0.215</v>
      </c>
      <c r="C20" s="436" t="n">
        <f aca="false">SUM(C23:C82)</f>
        <v>0.315</v>
      </c>
      <c r="D20" s="437"/>
      <c r="E20" s="438" t="s">
        <v>2660</v>
      </c>
      <c r="F20" s="439" t="n">
        <f aca="false">($B20*$B$7+$C20*$C$7)/100</f>
        <v>0.23</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0.18275</v>
      </c>
      <c r="C21" s="449" t="n">
        <f aca="false">C20*C7/100</f>
        <v>0.04725</v>
      </c>
      <c r="D21" s="381" t="str">
        <f aca="false">IF(F21=0,"",IF((ABS(F21-F19))&gt;(0.2*F21),CONCATENATE(" rec. par taxa (",F21," %) supérieur à 20 % !"),""))</f>
        <v> rec. par taxa (0,23 %) supérieur à 20 % !</v>
      </c>
      <c r="E21" s="450" t="str">
        <f aca="false">IF(F21=0,"",IF((ABS(F21-F19))&gt;(0.2*F21),CONCATENATE("ATTENTION : écart entre rec. par grp (",F19," %) ","et",""),""))</f>
        <v>ATTENTION : écart entre rec. par grp (0 %) et</v>
      </c>
      <c r="F21" s="451" t="n">
        <f aca="false">B21+C21</f>
        <v>0.23</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0.00425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0.00425</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69</v>
      </c>
      <c r="B24" s="494" t="n">
        <v>0.02</v>
      </c>
      <c r="C24" s="495" t="n">
        <v>0.25</v>
      </c>
      <c r="D24" s="477" t="str">
        <f aca="false">IF(ISERROR(VLOOKUP($A24,'liste reference'!$A$7:$D$904,2,0)),IF(ISERROR(VLOOKUP($A24,'liste reference'!$B$7:$D$904,1,0)),"",VLOOKUP($A24,'liste reference'!$B$7:$D$904,1,0)),VLOOKUP($A24,'liste reference'!$A$7:$D$904,2,0))</f>
        <v>Batrachospermum sp.</v>
      </c>
      <c r="E24" s="496" t="e">
        <f aca="false">IF(D24="",0,VLOOKUP(D24,D$22:D23,1,0))</f>
        <v>#N/A</v>
      </c>
      <c r="F24" s="497" t="n">
        <f aca="false">($B24*$B$7+$C24*$C$7)/100</f>
        <v>0.0545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1155</v>
      </c>
      <c r="Q24" s="486" t="n">
        <f aca="false">IF(ISTEXT(H24),"",(B24*$B$7/100)+(C24*$C$7/100))</f>
        <v>0.0545</v>
      </c>
      <c r="R24" s="487" t="n">
        <f aca="false">IF(OR(ISTEXT(H24),Q24=0),"",IF(Q24&lt;0.1,1,IF(Q24&lt;1,2,IF(Q24&lt;10,3,IF(Q24&lt;50,4,IF(Q24&gt;=50,5,""))))))</f>
        <v>1</v>
      </c>
      <c r="S24" s="487" t="n">
        <f aca="false">IF(ISERROR(R24*I24),0,R24*I24)</f>
        <v>16</v>
      </c>
      <c r="T24" s="487" t="n">
        <f aca="false">IF(ISERROR(R24*I24*J24),0,R24*I24*J24)</f>
        <v>32</v>
      </c>
      <c r="U24" s="499" t="n">
        <f aca="false">IF(ISERROR(R24*J24),0,R24*J24)</f>
        <v>2</v>
      </c>
      <c r="V24" s="488" t="str">
        <f aca="false">IF(AND(A24="",F24=0),"",IF(F24=0,"Il manque le(s) % de rec. !",""))</f>
        <v/>
      </c>
      <c r="W24" s="489"/>
      <c r="Y24" s="490" t="str">
        <f aca="false">IF(A24="new.cod","NEWCOD",IF(AND((Z24=""),ISTEXT(A24)),A24,IF(Z24="","",INDEX('liste reference'!$A$8:$A$904,Z24))))</f>
        <v>BATSPX</v>
      </c>
      <c r="Z24" s="280" t="n">
        <f aca="false">IF(ISERROR(MATCH(A24,'liste reference'!$A$8:$A$904,0)),IF(ISERROR(MATCH(A24,'liste reference'!$B$8:$B$904,0)),"",(MATCH(A24,'liste reference'!$B$8:$B$904,0))),(MATCH(A24,'liste reference'!$A$8:$A$904,0)))</f>
        <v>7</v>
      </c>
      <c r="AA24" s="491"/>
      <c r="AB24" s="492"/>
      <c r="AC24" s="492"/>
      <c r="BB24" s="280" t="n">
        <f aca="false">IF(A24="","",1)</f>
        <v>1</v>
      </c>
    </row>
    <row r="25" customFormat="false" ht="12.75" hidden="false" customHeight="false" outlineLevel="0" collapsed="false">
      <c r="A25" s="493" t="s">
        <v>77</v>
      </c>
      <c r="B25" s="494" t="n">
        <v>0.005</v>
      </c>
      <c r="C25" s="495" t="n">
        <v>0.02</v>
      </c>
      <c r="D25" s="477" t="str">
        <f aca="false">IF(ISERROR(VLOOKUP($A25,'liste reference'!$A$7:$D$904,2,0)),IF(ISERROR(VLOOKUP($A25,'liste reference'!$B$7:$D$904,1,0)),"",VLOOKUP($A25,'liste reference'!$B$7:$D$904,1,0)),VLOOKUP($A25,'liste reference'!$A$7:$D$904,2,0))</f>
        <v>Chaetophora sp.</v>
      </c>
      <c r="E25" s="496" t="e">
        <f aca="false">IF(D25="",0,VLOOKUP(D25,D$22:D24,1,0))</f>
        <v>#N/A</v>
      </c>
      <c r="F25" s="497" t="n">
        <f aca="false">($B25*$B$7+$C25*$C$7)/100</f>
        <v>0.00725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Chaetophora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1117</v>
      </c>
      <c r="Q25" s="486" t="n">
        <f aca="false">IF(ISTEXT(H25),"",(B25*$B$7/100)+(C25*$C$7/100))</f>
        <v>0.00725</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CHESPX</v>
      </c>
      <c r="Z25" s="280" t="n">
        <f aca="false">IF(ISERROR(MATCH(A25,'liste reference'!$A$8:$A$904,0)),IF(ISERROR(MATCH(A25,'liste reference'!$B$8:$B$904,0)),"",(MATCH(A25,'liste reference'!$B$8:$B$904,0))),(MATCH(A25,'liste reference'!$A$8:$A$904,0)))</f>
        <v>9</v>
      </c>
      <c r="AA25" s="491"/>
      <c r="AB25" s="492"/>
      <c r="AC25" s="492"/>
      <c r="BB25" s="280" t="n">
        <f aca="false">IF(A25="","",1)</f>
        <v>1</v>
      </c>
    </row>
    <row r="26" customFormat="false" ht="12.75" hidden="false" customHeight="false" outlineLevel="0" collapsed="false">
      <c r="A26" s="493" t="s">
        <v>154</v>
      </c>
      <c r="B26" s="494" t="n">
        <v>0.04</v>
      </c>
      <c r="C26" s="495" t="n">
        <v>0.01</v>
      </c>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0.0355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0.0355</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166</v>
      </c>
      <c r="B27" s="494" t="n">
        <v>0.03</v>
      </c>
      <c r="C27" s="495" t="n">
        <v>0.01</v>
      </c>
      <c r="D27" s="477" t="str">
        <f aca="false">IF(ISERROR(VLOOKUP($A27,'liste reference'!$A$7:$D$904,2,0)),IF(ISERROR(VLOOKUP($A27,'liste reference'!$B$7:$D$904,1,0)),"",VLOOKUP($A27,'liste reference'!$B$7:$D$904,1,0)),VLOOKUP($A27,'liste reference'!$A$7:$D$904,2,0))</f>
        <v>Microcoleus sp.</v>
      </c>
      <c r="E27" s="496" t="e">
        <f aca="false">IF(D27="",0,VLOOKUP(D27,D$17:D25,1,0))</f>
        <v>#N/A</v>
      </c>
      <c r="F27" s="497" t="n">
        <f aca="false">($B27*$B$7+$C27*$C$7)/100</f>
        <v>0.027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Microcoleus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6405</v>
      </c>
      <c r="Q27" s="486" t="n">
        <f aca="false">IF(ISTEXT(H27),"",(B27*$B$7/100)+(C27*$C$7/100))</f>
        <v>0.027</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MIRSPX</v>
      </c>
      <c r="Z27" s="280" t="n">
        <f aca="false">IF(ISERROR(MATCH(A27,'liste reference'!$A$8:$A$904,0)),IF(ISERROR(MATCH(A27,'liste reference'!$B$8:$B$904,0)),"",(MATCH(A27,'liste reference'!$B$8:$B$904,0))),(MATCH(A27,'liste reference'!$A$8:$A$904,0)))</f>
        <v>38</v>
      </c>
      <c r="AA27" s="491" t="s">
        <v>2685</v>
      </c>
      <c r="AB27" s="492"/>
      <c r="AC27" s="492"/>
      <c r="BB27" s="280" t="n">
        <f aca="false">IF(A27="","",1)</f>
        <v>1</v>
      </c>
    </row>
    <row r="28" customFormat="false" ht="12.75" hidden="false" customHeight="false" outlineLevel="0" collapsed="false">
      <c r="A28" s="493" t="s">
        <v>250</v>
      </c>
      <c r="B28" s="494" t="n">
        <v>0.01</v>
      </c>
      <c r="C28" s="495"/>
      <c r="D28" s="477" t="str">
        <f aca="false">IF(ISERROR(VLOOKUP($A28,'liste reference'!$A$7:$D$904,2,0)),IF(ISERROR(VLOOKUP($A28,'liste reference'!$B$7:$D$904,1,0)),"",VLOOKUP($A28,'liste reference'!$B$7:$D$904,1,0)),VLOOKUP($A28,'liste reference'!$A$7:$D$904,2,0))</f>
        <v>Scytonema sp.</v>
      </c>
      <c r="E28" s="496" t="e">
        <f aca="false">IF(D28="",0,VLOOKUP(D28,D$22:D27,1,0))</f>
        <v>#N/A</v>
      </c>
      <c r="F28" s="497" t="n">
        <f aca="false">($B28*$B$7+$C28*$C$7)/100</f>
        <v>0.0085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Scytonema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1114</v>
      </c>
      <c r="Q28" s="486" t="n">
        <f aca="false">IF(ISTEXT(H28),"",(B28*$B$7/100)+(C28*$C$7/100))</f>
        <v>0.0085</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SCYSPX</v>
      </c>
      <c r="Z28" s="280" t="n">
        <f aca="false">IF(ISERROR(MATCH(A28,'liste reference'!$A$8:$A$904,0)),IF(ISERROR(MATCH(A28,'liste reference'!$B$8:$B$904,0)),"",(MATCH(A28,'liste reference'!$B$8:$B$904,0))),(MATCH(A28,'liste reference'!$A$8:$A$904,0)))</f>
        <v>66</v>
      </c>
      <c r="AA28" s="491"/>
      <c r="AB28" s="492"/>
      <c r="AC28" s="492"/>
      <c r="BB28" s="280" t="n">
        <f aca="false">IF(A28="","",1)</f>
        <v>1</v>
      </c>
    </row>
    <row r="29" customFormat="false" ht="12.75" hidden="false" customHeight="false" outlineLevel="0" collapsed="false">
      <c r="A29" s="493" t="s">
        <v>258</v>
      </c>
      <c r="B29" s="494" t="n">
        <v>0.05</v>
      </c>
      <c r="C29" s="495" t="n">
        <v>0.005</v>
      </c>
      <c r="D29" s="477" t="str">
        <f aca="false">IF(ISERROR(VLOOKUP($A29,'liste reference'!$A$7:$D$904,2,0)),IF(ISERROR(VLOOKUP($A29,'liste reference'!$B$7:$D$904,1,0)),"",VLOOKUP($A29,'liste reference'!$B$7:$D$904,1,0)),VLOOKUP($A29,'liste reference'!$A$7:$D$904,2,0))</f>
        <v>Spirogyra sp.</v>
      </c>
      <c r="E29" s="496" t="e">
        <f aca="false">IF(D29="",0,VLOOKUP(D29,D$22:D28,1,0))</f>
        <v>#N/A</v>
      </c>
      <c r="F29" s="497" t="n">
        <f aca="false">($B29*$B$7+$C29*$C$7)/100</f>
        <v>0.04325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1147</v>
      </c>
      <c r="Q29" s="486" t="n">
        <f aca="false">IF(ISTEXT(H29),"",(B29*$B$7/100)+(C29*$C$7/100))</f>
        <v>0.04325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SPISPX</v>
      </c>
      <c r="Z29" s="280" t="n">
        <f aca="false">IF(ISERROR(MATCH(A29,'liste reference'!$A$8:$A$904,0)),IF(ISERROR(MATCH(A29,'liste reference'!$B$8:$B$904,0)),"",(MATCH(A29,'liste reference'!$B$8:$B$904,0))),(MATCH(A29,'liste reference'!$A$8:$A$904,0)))</f>
        <v>69</v>
      </c>
      <c r="AA29" s="491"/>
      <c r="AB29" s="492"/>
      <c r="AC29" s="492"/>
      <c r="BB29" s="280" t="n">
        <f aca="false">IF(A29="","",1)</f>
        <v>1</v>
      </c>
    </row>
    <row r="30" customFormat="false" ht="12.75" hidden="false" customHeight="false" outlineLevel="0" collapsed="false">
      <c r="A30" s="493" t="s">
        <v>304</v>
      </c>
      <c r="B30" s="494" t="n">
        <v>0.02</v>
      </c>
      <c r="C30" s="495" t="n">
        <v>0.01</v>
      </c>
      <c r="D30" s="477" t="str">
        <f aca="false">IF(ISERROR(VLOOKUP($A30,'liste reference'!$A$7:$D$904,2,0)),IF(ISERROR(VLOOKUP($A30,'liste reference'!$B$7:$D$904,1,0)),"",VLOOKUP($A30,'liste reference'!$B$7:$D$904,1,0)),VLOOKUP($A30,'liste reference'!$A$7:$D$904,2,0))</f>
        <v>Zygnema sp.</v>
      </c>
      <c r="E30" s="496" t="e">
        <f aca="false">IF(D30="",0,VLOOKUP(D30,D$22:D29,1,0))</f>
        <v>#N/A</v>
      </c>
      <c r="F30" s="497" t="n">
        <f aca="false">($B30*$B$7+$C30*$C$7)/100</f>
        <v>0.0185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1148</v>
      </c>
      <c r="Q30" s="486" t="n">
        <f aca="false">IF(ISTEXT(H30),"",(B30*$B$7/100)+(C30*$C$7/100))</f>
        <v>0.0185</v>
      </c>
      <c r="R30" s="487" t="n">
        <f aca="false">IF(OR(ISTEXT(H30),Q30=0),"",IF(Q30&lt;0.1,1,IF(Q30&lt;1,2,IF(Q30&lt;10,3,IF(Q30&lt;50,4,IF(Q30&gt;=50,5,""))))))</f>
        <v>1</v>
      </c>
      <c r="S30" s="487" t="n">
        <f aca="false">IF(ISERROR(R30*I30),0,R30*I30)</f>
        <v>13</v>
      </c>
      <c r="T30" s="487" t="n">
        <f aca="false">IF(ISERROR(R30*I30*J30),0,R30*I30*J30)</f>
        <v>39</v>
      </c>
      <c r="U30" s="499" t="n">
        <f aca="false">IF(ISERROR(R30*J30),0,R30*J30)</f>
        <v>3</v>
      </c>
      <c r="V30" s="488" t="str">
        <f aca="false">IF(AND(A30="",F30=0),"",IF(F30=0,"Il manque le(s) % de rec. !",""))</f>
        <v/>
      </c>
      <c r="W30" s="489"/>
      <c r="Y30" s="490" t="str">
        <f aca="false">IF(A30="new.cod","NEWCOD",IF(AND((Z30=""),ISTEXT(A30)),A30,IF(Z30="","",INDEX('liste reference'!$A$8:$A$904,Z30))))</f>
        <v>ZYGSPX</v>
      </c>
      <c r="Z30" s="280" t="n">
        <f aca="false">IF(ISERROR(MATCH(A30,'liste reference'!$A$8:$A$904,0)),IF(ISERROR(MATCH(A30,'liste reference'!$B$8:$B$904,0)),"",(MATCH(A30,'liste reference'!$B$8:$B$904,0))),(MATCH(A30,'liste reference'!$A$8:$A$904,0)))</f>
        <v>83</v>
      </c>
      <c r="AA30" s="491"/>
      <c r="AB30" s="492"/>
      <c r="AC30" s="492"/>
      <c r="BB30" s="280" t="n">
        <f aca="false">IF(A30="","",1)</f>
        <v>1</v>
      </c>
    </row>
    <row r="31" customFormat="false" ht="12.75" hidden="false" customHeight="false" outlineLevel="0" collapsed="false">
      <c r="A31" s="493" t="s">
        <v>561</v>
      </c>
      <c r="B31" s="494" t="n">
        <v>0.005</v>
      </c>
      <c r="C31" s="495" t="n">
        <v>0.005</v>
      </c>
      <c r="D31" s="477" t="str">
        <f aca="false">IF(ISERROR(VLOOKUP($A31,'liste reference'!$A$7:$D$904,2,0)),IF(ISERROR(VLOOKUP($A31,'liste reference'!$B$7:$D$904,1,0)),"",VLOOKUP($A31,'liste reference'!$B$7:$D$904,1,0)),VLOOKUP($A31,'liste reference'!$A$7:$D$904,2,0))</f>
        <v>Riccardia chamedryfolia</v>
      </c>
      <c r="E31" s="496" t="e">
        <f aca="false">IF(D31="",0,VLOOKUP(D31,D$22:D30,1,0))</f>
        <v>#N/A</v>
      </c>
      <c r="F31" s="497" t="n">
        <f aca="false">($B31*$B$7+$C31*$C$7)/100</f>
        <v>0.005</v>
      </c>
      <c r="G31" s="479" t="str">
        <f aca="false">IF(A31="","",IF(ISERROR(VLOOKUP($A31,'liste reference'!$A$7:$P$904,13,0)),IF(ISERROR(VLOOKUP($A31,'liste reference'!$B$7:$P$904,12,0)),"    -",VLOOKUP($A31,'liste reference'!$B$7:$P$904,12,0)),VLOOKUP($A31,'liste reference'!$A$7:$P$904,13,0)))</f>
        <v>BRh</v>
      </c>
      <c r="H31" s="480" t="n">
        <f aca="false">IF(A31="","x",IF(ISERROR(VLOOKUP($A31,'liste reference'!$A$8:$P$904,14,0)),IF(ISERROR(VLOOKUP($A31,'liste reference'!$B$8:$P$904,13,0)),"x",VLOOKUP($A31,'liste reference'!$B$8:$P$904,13,0)),VLOOKUP($A31,'liste reference'!$A$8:$P$904,14,0)))</f>
        <v>4</v>
      </c>
      <c r="I31" s="481" t="n">
        <f aca="false">IF(ISNUMBER(H31),IF(ISERROR(VLOOKUP($A31,'liste reference'!$A$7:$P$904,3,0)),IF(ISERROR(VLOOKUP($A31,'liste reference'!$B$7:$P$904,2,0)),"",VLOOKUP($A31,'liste reference'!$B$7:$P$904,2,0)),VLOOKUP($A31,'liste reference'!$A$7:$P$904,3,0)),"")</f>
        <v>15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Riccardia chamedryfolia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1173</v>
      </c>
      <c r="Q31" s="486" t="n">
        <f aca="false">IF(ISTEXT(H31),"",(B31*$B$7/100)+(C31*$C$7/100))</f>
        <v>0.005</v>
      </c>
      <c r="R31" s="487" t="n">
        <f aca="false">IF(OR(ISTEXT(H31),Q31=0),"",IF(Q31&lt;0.1,1,IF(Q31&lt;1,2,IF(Q31&lt;10,3,IF(Q31&lt;50,4,IF(Q31&gt;=50,5,""))))))</f>
        <v>1</v>
      </c>
      <c r="S31" s="487" t="n">
        <f aca="false">IF(ISERROR(R31*I31),0,R31*I31)</f>
        <v>15</v>
      </c>
      <c r="T31" s="487" t="n">
        <f aca="false">IF(ISERROR(R31*I31*J31),0,R31*I31*J31)</f>
        <v>30</v>
      </c>
      <c r="U31" s="499" t="n">
        <f aca="false">IF(ISERROR(R31*J31),0,R31*J31)</f>
        <v>2</v>
      </c>
      <c r="V31" s="488" t="str">
        <f aca="false">IF(AND(A31="",F31=0),"",IF(F31=0,"Il manque le(s) % de rec. !",""))</f>
        <v/>
      </c>
      <c r="W31" s="489"/>
      <c r="Y31" s="490" t="str">
        <f aca="false">IF(A31="new.cod","NEWCOD",IF(AND((Z31=""),ISTEXT(A31)),A31,IF(Z31="","",INDEX('liste reference'!$A$8:$A$904,Z31))))</f>
        <v>RICCHA</v>
      </c>
      <c r="Z31" s="280" t="n">
        <f aca="false">IF(ISERROR(MATCH(A31,'liste reference'!$A$8:$A$904,0)),IF(ISERROR(MATCH(A31,'liste reference'!$B$8:$B$904,0)),"",(MATCH(A31,'liste reference'!$B$8:$B$904,0))),(MATCH(A31,'liste reference'!$A$8:$A$904,0)))</f>
        <v>130</v>
      </c>
      <c r="AA31" s="491"/>
      <c r="AB31" s="492"/>
      <c r="AC31" s="492"/>
      <c r="BB31" s="280" t="n">
        <f aca="false">IF(A31="","",1)</f>
        <v>1</v>
      </c>
    </row>
    <row r="32" customFormat="false" ht="12.75" hidden="false" customHeight="false" outlineLevel="0" collapsed="false">
      <c r="A32" s="493" t="s">
        <v>691</v>
      </c>
      <c r="B32" s="494" t="n">
        <v>0.005</v>
      </c>
      <c r="C32" s="495"/>
      <c r="D32" s="477" t="str">
        <f aca="false">IF(ISERROR(VLOOKUP($A32,'liste reference'!$A$7:$D$904,2,0)),IF(ISERROR(VLOOKUP($A32,'liste reference'!$B$7:$D$904,1,0)),"",VLOOKUP($A32,'liste reference'!$B$7:$D$904,1,0)),VLOOKUP($A32,'liste reference'!$A$7:$D$904,2,0))</f>
        <v>Bryum pseudotriquetrum</v>
      </c>
      <c r="E32" s="496" t="e">
        <f aca="false">IF(D32="",0,VLOOKUP(D32,D$22:D31,1,0))</f>
        <v>#N/A</v>
      </c>
      <c r="F32" s="497" t="n">
        <f aca="false">($B32*$B$7+$C32*$C$7)/100</f>
        <v>0.00425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Bryum pseudotriquetrum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1274</v>
      </c>
      <c r="Q32" s="486" t="n">
        <f aca="false">IF(ISTEXT(H32),"",(B32*$B$7/100)+(C32*$C$7/100))</f>
        <v>0.00425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BRYPSE</v>
      </c>
      <c r="Z32" s="280" t="n">
        <f aca="false">IF(ISERROR(MATCH(A32,'liste reference'!$A$8:$A$904,0)),IF(ISERROR(MATCH(A32,'liste reference'!$B$8:$B$904,0)),"",(MATCH(A32,'liste reference'!$B$8:$B$904,0))),(MATCH(A32,'liste reference'!$A$8:$A$904,0)))</f>
        <v>160</v>
      </c>
      <c r="AA32" s="491"/>
      <c r="AB32" s="492"/>
      <c r="AC32" s="492"/>
      <c r="BB32" s="280" t="n">
        <f aca="false">IF(A32="","",1)</f>
        <v>1</v>
      </c>
    </row>
    <row r="33" customFormat="false" ht="12.75" hidden="false" customHeight="false" outlineLevel="0" collapsed="false">
      <c r="A33" s="493" t="s">
        <v>1019</v>
      </c>
      <c r="B33" s="494" t="n">
        <v>0.005</v>
      </c>
      <c r="C33" s="495"/>
      <c r="D33" s="477" t="str">
        <f aca="false">IF(ISERROR(VLOOKUP($A33,'liste reference'!$A$7:$D$904,2,0)),IF(ISERROR(VLOOKUP($A33,'liste reference'!$B$7:$D$904,1,0)),"",VLOOKUP($A33,'liste reference'!$B$7:$D$904,1,0)),VLOOKUP($A33,'liste reference'!$A$7:$D$904,2,0))</f>
        <v>Racomitrium aciculare</v>
      </c>
      <c r="E33" s="496" t="e">
        <f aca="false">IF(D33="",0,VLOOKUP(D33,D$22:D32,1,0))</f>
        <v>#N/A</v>
      </c>
      <c r="F33" s="497" t="n">
        <f aca="false">($B33*$B$7+$C33*$C$7)/100</f>
        <v>0.00425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18</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Racomitrium aciculare</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1323</v>
      </c>
      <c r="Q33" s="486" t="n">
        <f aca="false">IF(ISTEXT(H33),"",(B33*$B$7/100)+(C33*$C$7/100))</f>
        <v>0.00425</v>
      </c>
      <c r="R33" s="487" t="n">
        <f aca="false">IF(OR(ISTEXT(H33),Q33=0),"",IF(Q33&lt;0.1,1,IF(Q33&lt;1,2,IF(Q33&lt;10,3,IF(Q33&lt;50,4,IF(Q33&gt;=50,5,""))))))</f>
        <v>1</v>
      </c>
      <c r="S33" s="487" t="n">
        <f aca="false">IF(ISERROR(R33*I33),0,R33*I33)</f>
        <v>18</v>
      </c>
      <c r="T33" s="487" t="n">
        <f aca="false">IF(ISERROR(R33*I33*J33),0,R33*I33*J33)</f>
        <v>54</v>
      </c>
      <c r="U33" s="499" t="n">
        <f aca="false">IF(ISERROR(R33*J33),0,R33*J33)</f>
        <v>3</v>
      </c>
      <c r="V33" s="488" t="str">
        <f aca="false">IF(AND(A33="",F33=0),"",IF(F33=0,"Il manque le(s) % de rec. !",""))</f>
        <v/>
      </c>
      <c r="W33" s="489"/>
      <c r="X33" s="489"/>
      <c r="Y33" s="490" t="str">
        <f aca="false">IF(A33="new.cod","NEWCOD",IF(AND((Z33=""),ISTEXT(A33)),A33,IF(Z33="","",INDEX('liste reference'!$A$8:$A$904,Z33))))</f>
        <v>RACACI</v>
      </c>
      <c r="Z33" s="280" t="n">
        <f aca="false">IF(ISERROR(MATCH(A33,'liste reference'!$A$8:$A$904,0)),IF(ISERROR(MATCH(A33,'liste reference'!$B$8:$B$904,0)),"",(MATCH(A33,'liste reference'!$B$8:$B$904,0))),(MATCH(A33,'liste reference'!$A$8:$A$904,0)))</f>
        <v>244</v>
      </c>
      <c r="AA33" s="491"/>
      <c r="AB33" s="492"/>
      <c r="AC33" s="492"/>
      <c r="BB33" s="280" t="n">
        <f aca="false">IF(A33="","",1)</f>
        <v>1</v>
      </c>
    </row>
    <row r="34" customFormat="false" ht="12.75" hidden="false" customHeight="false" outlineLevel="0" collapsed="false">
      <c r="A34" s="493" t="s">
        <v>1197</v>
      </c>
      <c r="B34" s="494" t="n">
        <v>0.005</v>
      </c>
      <c r="C34" s="495"/>
      <c r="D34" s="477" t="str">
        <f aca="false">IF(ISERROR(VLOOKUP($A34,'liste reference'!$A$7:$D$904,2,0)),IF(ISERROR(VLOOKUP($A34,'liste reference'!$B$7:$D$904,1,0)),"",VLOOKUP($A34,'liste reference'!$B$7:$D$904,1,0)),VLOOKUP($A34,'liste reference'!$A$7:$D$904,2,0))</f>
        <v>Osmunda regalis</v>
      </c>
      <c r="E34" s="496" t="e">
        <f aca="false">IF(D34="",0,VLOOKUP(D34,D$22:D33,1,0))</f>
        <v>#N/A</v>
      </c>
      <c r="F34" s="500" t="n">
        <f aca="false">($B34*$B$7+$C34*$C$7)/100</f>
        <v>0.00425</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Osmunda regalis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1403</v>
      </c>
      <c r="Q34" s="486" t="n">
        <f aca="false">IF(ISTEXT(H34),"",(B34*$B$7/100)+(C34*$C$7/100))</f>
        <v>0.00425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OSMREG</v>
      </c>
      <c r="Z34" s="280" t="n">
        <f aca="false">IF(ISERROR(MATCH(A34,'liste reference'!$A$8:$A$904,0)),IF(ISERROR(MATCH(A34,'liste reference'!$B$8:$B$904,0)),"",(MATCH(A34,'liste reference'!$B$8:$B$904,0))),(MATCH(A34,'liste reference'!$A$8:$A$904,0)))</f>
        <v>298</v>
      </c>
      <c r="AA34" s="491"/>
      <c r="AB34" s="492"/>
      <c r="AC34" s="492"/>
      <c r="BB34" s="280" t="n">
        <f aca="false">IF(A34="","",1)</f>
        <v>1</v>
      </c>
    </row>
    <row r="35" customFormat="false" ht="12.75" hidden="false" customHeight="false" outlineLevel="0" collapsed="false">
      <c r="A35" s="493" t="s">
        <v>1936</v>
      </c>
      <c r="B35" s="494" t="n">
        <v>0.005</v>
      </c>
      <c r="C35" s="495"/>
      <c r="D35" s="477" t="str">
        <f aca="false">IF(ISERROR(VLOOKUP($A35,'liste reference'!$A$7:$D$904,2,0)),IF(ISERROR(VLOOKUP($A35,'liste reference'!$B$7:$D$904,1,0)),"",VLOOKUP($A35,'liste reference'!$B$7:$D$904,1,0)),VLOOKUP($A35,'liste reference'!$A$7:$D$904,2,0))</f>
        <v>Mentha aquatica</v>
      </c>
      <c r="E35" s="496" t="e">
        <f aca="false">IF(D35="",0,VLOOKUP(D35,D$22:D34,1,0))</f>
        <v>#N/A</v>
      </c>
      <c r="F35" s="500" t="n">
        <f aca="false">($B35*$B$7+$C35*$C$7)/100</f>
        <v>0.00425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Mentha aquatica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1791</v>
      </c>
      <c r="Q35" s="486" t="n">
        <f aca="false">IF(ISTEXT(H35),"",(B35*$B$7/100)+(C35*$C$7/100))</f>
        <v>0.00425</v>
      </c>
      <c r="R35" s="487" t="n">
        <f aca="false">IF(OR(ISTEXT(H35),Q35=0),"",IF(Q35&lt;0.1,1,IF(Q35&lt;1,2,IF(Q35&lt;10,3,IF(Q35&lt;50,4,IF(Q35&gt;=50,5,""))))))</f>
        <v>1</v>
      </c>
      <c r="S35" s="487" t="n">
        <f aca="false">IF(ISERROR(R35*I35),0,R35*I35)</f>
        <v>12</v>
      </c>
      <c r="T35" s="487" t="n">
        <f aca="false">IF(ISERROR(R35*I35*J35),0,R35*I35*J35)</f>
        <v>12</v>
      </c>
      <c r="U35" s="499" t="n">
        <f aca="false">IF(ISERROR(R35*J35),0,R35*J35)</f>
        <v>1</v>
      </c>
      <c r="V35" s="488" t="str">
        <f aca="false">IF(AND(A35="",F35=0),"",IF(F35=0,"Il manque le(s) % de rec. !",""))</f>
        <v/>
      </c>
      <c r="W35" s="489"/>
      <c r="Y35" s="490" t="str">
        <f aca="false">IF(A35="new.cod","NEWCOD",IF(AND((Z35=""),ISTEXT(A35)),A35,IF(Z35="","",INDEX('liste reference'!$A$8:$A$904,Z35))))</f>
        <v>MENAQU</v>
      </c>
      <c r="Z35" s="280" t="n">
        <f aca="false">IF(ISERROR(MATCH(A35,'liste reference'!$A$8:$A$904,0)),IF(ISERROR(MATCH(A35,'liste reference'!$B$8:$B$904,0)),"",(MATCH(A35,'liste reference'!$B$8:$B$904,0))),(MATCH(A35,'liste reference'!$A$8:$A$904,0)))</f>
        <v>607</v>
      </c>
      <c r="AA35" s="491"/>
      <c r="AB35" s="492"/>
      <c r="AC35" s="492"/>
      <c r="BB35" s="280" t="n">
        <f aca="false">IF(A35="","",1)</f>
        <v>1</v>
      </c>
    </row>
    <row r="36" customFormat="false" ht="12.75" hidden="false" customHeight="false" outlineLevel="0" collapsed="false">
      <c r="A36" s="493" t="s">
        <v>2307</v>
      </c>
      <c r="B36" s="494" t="n">
        <v>0.005</v>
      </c>
      <c r="C36" s="495"/>
      <c r="D36" s="477" t="str">
        <f aca="false">IF(ISERROR(VLOOKUP($A36,'liste reference'!$A$7:$D$904,2,0)),IF(ISERROR(VLOOKUP($A36,'liste reference'!$B$7:$D$904,1,0)),"",VLOOKUP($A36,'liste reference'!$B$7:$D$904,1,0)),VLOOKUP($A36,'liste reference'!$A$7:$D$904,2,0))</f>
        <v>Juncus articulatus</v>
      </c>
      <c r="E36" s="496" t="e">
        <f aca="false">IF(D36="",0,VLOOKUP(D36,D$22:D35,1,0))</f>
        <v>#N/A</v>
      </c>
      <c r="F36" s="500" t="n">
        <f aca="false">($B36*$B$7+$C36*$C$7)/100</f>
        <v>0.00425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Juncus articulatus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1609</v>
      </c>
      <c r="Q36" s="486" t="n">
        <f aca="false">IF(ISTEXT(H36),"",(B36*$B$7/100)+(C36*$C$7/100))</f>
        <v>0.00425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JUNART</v>
      </c>
      <c r="Z36" s="280" t="n">
        <f aca="false">IF(ISERROR(MATCH(A36,'liste reference'!$A$8:$A$904,0)),IF(ISERROR(MATCH(A36,'liste reference'!$B$8:$B$904,0)),"",(MATCH(A36,'liste reference'!$B$8:$B$904,0))),(MATCH(A36,'liste reference'!$A$8:$A$904,0)))</f>
        <v>768</v>
      </c>
      <c r="AA36" s="491"/>
      <c r="AB36" s="492"/>
      <c r="AC36" s="492"/>
      <c r="BB36" s="280" t="n">
        <f aca="false">IF(A36="","",1)</f>
        <v>1</v>
      </c>
    </row>
    <row r="37" customFormat="false" ht="12.75" hidden="false" customHeight="false" outlineLevel="0" collapsed="false">
      <c r="A37" s="493" t="s">
        <v>2686</v>
      </c>
      <c r="B37" s="494" t="n">
        <v>0.005</v>
      </c>
      <c r="C37" s="495" t="n">
        <v>0.005</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0.005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Calothrix sp.</v>
      </c>
      <c r="L37" s="498"/>
      <c r="M37" s="498"/>
      <c r="N37" s="498"/>
      <c r="O37" s="484" t="s">
        <v>2685</v>
      </c>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t="s">
        <v>2685</v>
      </c>
      <c r="AB37" s="492" t="s">
        <v>2687</v>
      </c>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IF(D43="",0,VLOOKUP(D43,D$21:D42,1,0))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X43" s="501"/>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2"/>
      <c r="M45" s="502"/>
      <c r="N45" s="502"/>
      <c r="O45" s="484"/>
      <c r="P45" s="503"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2"/>
      <c r="M46" s="502"/>
      <c r="N46" s="502"/>
      <c r="O46" s="484"/>
      <c r="P46" s="503"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X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IF(D52="",0,VLOOKUP(D52,D$19:D47,1,0))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4"/>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IF(D62="",0,VLOOKUP(D62,D$15:D61,1,0))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Cruzzini</v>
      </c>
      <c r="B84" s="529" t="str">
        <f aca="false">C3</f>
        <v>Azzana</v>
      </c>
      <c r="C84" s="530" t="n">
        <f aca="false">A4</f>
        <v>41823</v>
      </c>
      <c r="D84" s="531" t="n">
        <f aca="false">IF(ISERROR(SUM($T$23:$T$82)/SUM($U$23:$U$82)),"",SUM($T$23:$T$82)/SUM($U$23:$U$82))</f>
        <v>14.2777777777778</v>
      </c>
      <c r="E84" s="532" t="n">
        <f aca="false">N13</f>
        <v>15</v>
      </c>
      <c r="F84" s="529" t="n">
        <f aca="false">N14</f>
        <v>14</v>
      </c>
      <c r="G84" s="529" t="n">
        <f aca="false">N15</f>
        <v>2</v>
      </c>
      <c r="H84" s="529" t="n">
        <f aca="false">N16</f>
        <v>5</v>
      </c>
      <c r="I84" s="529" t="n">
        <f aca="false">N17</f>
        <v>2</v>
      </c>
      <c r="J84" s="533" t="n">
        <f aca="false">N8</f>
        <v>8.85714285714286</v>
      </c>
      <c r="K84" s="531" t="n">
        <f aca="false">N9</f>
        <v>6.85416602051152</v>
      </c>
      <c r="L84" s="532" t="n">
        <f aca="false">N10</f>
        <v>0</v>
      </c>
      <c r="M84" s="532" t="n">
        <f aca="false">N11</f>
        <v>18</v>
      </c>
      <c r="N84" s="531" t="n">
        <f aca="false">O8</f>
        <v>1.28571428571429</v>
      </c>
      <c r="O84" s="531" t="n">
        <f aca="false">O9</f>
        <v>1.0973065354098</v>
      </c>
      <c r="P84" s="532" t="n">
        <f aca="false">O10</f>
        <v>0</v>
      </c>
      <c r="Q84" s="532" t="n">
        <f aca="false">O11</f>
        <v>3</v>
      </c>
      <c r="R84" s="532" t="n">
        <f aca="false">F21</f>
        <v>0.23</v>
      </c>
      <c r="S84" s="532" t="n">
        <f aca="false">K11</f>
        <v>0</v>
      </c>
      <c r="T84" s="532" t="n">
        <f aca="false">K12</f>
        <v>8</v>
      </c>
      <c r="U84" s="532" t="n">
        <f aca="false">K13</f>
        <v>3</v>
      </c>
      <c r="V84" s="534" t="n">
        <f aca="false">K14</f>
        <v>1</v>
      </c>
      <c r="W84" s="535" t="n">
        <f aca="false">K15</f>
        <v>2</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18</v>
      </c>
      <c r="T87" s="280"/>
      <c r="U87" s="280"/>
      <c r="V87" s="280"/>
    </row>
    <row r="88" customFormat="false" ht="12.75" hidden="true" customHeight="false" outlineLevel="0" collapsed="false">
      <c r="P88" s="280"/>
      <c r="Q88" s="280" t="s">
        <v>2691</v>
      </c>
      <c r="R88" s="280"/>
      <c r="S88" s="488" t="n">
        <f aca="false">VLOOKUP((S87),($S$23:$U$82),2,0)</f>
        <v>54</v>
      </c>
      <c r="T88" s="280"/>
      <c r="U88" s="280"/>
      <c r="V88" s="280"/>
    </row>
    <row r="89" customFormat="false" ht="12.75" hidden="true" customHeight="false" outlineLevel="0" collapsed="false">
      <c r="Q89" s="280" t="s">
        <v>2692</v>
      </c>
      <c r="R89" s="280"/>
      <c r="S89" s="488" t="n">
        <f aca="false">VLOOKUP((S87),($S$23:$U$82),3,0)</f>
        <v>3</v>
      </c>
      <c r="T89" s="280"/>
    </row>
    <row r="90" customFormat="false" ht="12.75" hidden="false" customHeight="false" outlineLevel="0" collapsed="false">
      <c r="Q90" s="280" t="s">
        <v>2693</v>
      </c>
      <c r="R90" s="280"/>
      <c r="S90" s="538" t="n">
        <f aca="false">IF(ISERROR(SUM($T$23:$T$82)/SUM($U$23:$U$82)),"",(SUM($T$23:$T$82)-S88)/(SUM($U$23:$U$82)-S89))</f>
        <v>13.5333333333333</v>
      </c>
      <c r="T90" s="280"/>
    </row>
    <row r="91" customFormat="false" ht="12.75" hidden="false" customHeight="false" outlineLevel="0" collapsed="false">
      <c r="Q91" s="487" t="s">
        <v>2694</v>
      </c>
      <c r="R91" s="487"/>
      <c r="S91" s="487" t="str">
        <f aca="false">INDEX('liste reference'!$A$8:$A$904,$T$91)</f>
        <v>RACACI</v>
      </c>
      <c r="T91" s="280" t="n">
        <f aca="false">IF(ISERROR(MATCH($S$93,'liste reference'!$A$8:$A$904,0)),MATCH($S$93,'liste reference'!$B$8:$B$904,0),(MATCH($S$93,'liste reference'!$A$8:$A$904,0)))</f>
        <v>244</v>
      </c>
      <c r="U91" s="527"/>
    </row>
    <row r="92" customFormat="false" ht="12.75" hidden="false" customHeight="false" outlineLevel="0" collapsed="false">
      <c r="Q92" s="280" t="s">
        <v>2695</v>
      </c>
      <c r="R92" s="280"/>
      <c r="S92" s="280" t="n">
        <f aca="false">MATCH(S87,$S$23:$S$82,0)</f>
        <v>11</v>
      </c>
      <c r="T92" s="280"/>
    </row>
    <row r="93" customFormat="false" ht="12.75" hidden="false" customHeight="false" outlineLevel="0" collapsed="false">
      <c r="Q93" s="487" t="s">
        <v>2696</v>
      </c>
      <c r="R93" s="280"/>
      <c r="S93" s="487" t="str">
        <f aca="false">INDEX($A$23:$A$82,$S$92)</f>
        <v>RACACI</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4"/>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1"/>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4"/>
      <c r="P59" s="503"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2719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2015-03-20T13:22:11Z</dcterms:modified>
  <cp:revision>0</cp:revision>
  <dc:subject/>
  <dc:title>Feuille d'aide au calcul de l'IBMR</dc:title>
</cp:coreProperties>
</file>