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Cruzini a Azzana" sheetId="7" state="visible" r:id="rId9"/>
    <sheet name="liste codes réf" sheetId="8" state="hidden" r:id="rId10"/>
  </sheets>
  <definedNames>
    <definedName function="false" hidden="false" localSheetId="6" name="_xlnm.Print_Area" vbProcedure="false">'Cruzini a Azzana'!$A$1:$Q$82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'Cruzini a Azzana'!$A$1:$C$1415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<sst xmlns="http://schemas.openxmlformats.org/spreadsheetml/2006/main" count="9999" uniqueCount="3496">
  <si>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</si>
  <si>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</si>
  <si>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</si>
  <si>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</si>
  <si>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</si>
  <si>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</si>
  <si>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</si>
  <si>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</si>
  <si>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</si>
  <si>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</si>
  <si>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</si>
  <si>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</si>
  <si>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</si>
  <si>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</si>
  <si>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</si>
  <si>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</si>
  <si>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</si>
  <si>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</si>
  <si>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</si>
  <si>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</si>
  <si>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</si>
  <si>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</si>
  <si>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</si>
  <si>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</si>
  <si>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</si>
  <si>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</si>
  <si>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</si>
  <si>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</si>
  <si>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</si>
  <si>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</si>
  <si>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</si>
  <si>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</si>
  <si>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</si>
  <si>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</si>
  <si>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</si>
  <si>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</si>
  <si>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</si>
  <si>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</si>
  <si>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</si>
  <si>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</si>
  <si>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</si>
  <si>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</si>
  <si>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</si>
  <si>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</si>
  <si>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</si>
  <si>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</si>
  <si>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</si>
  <si>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</si>
  <si>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</si>
  <si>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</si>
  <si>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</si>
  <si>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</si>
  <si>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</si>
  <si>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</si>
  <si>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</si>
  <si>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</si>
  <si>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</si>
  <si>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</si>
  <si>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</si>
  <si>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</si>
  <si>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</si>
  <si>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</si>
  <si>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</si>
  <si>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</si>
  <si>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</si>
  <si>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</si>
  <si>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</si>
  <si>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</si>
  <si>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</si>
  <si>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</si>
  <si>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</si>
  <si>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</si>
  <si>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</si>
  <si>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</si>
  <si>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</si>
  <si>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</si>
  <si>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</si>
  <si>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</si>
  <si>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</si>
  <si>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</si>
  <si>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</si>
  <si>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</si>
  <si>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</si>
  <si>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</si>
  <si>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</si>
  <si>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</si>
  <si>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</si>
  <si>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</si>
  <si>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</si>
  <si>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</si>
  <si>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</si>
  <si>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</si>
  <si>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</si>
  <si>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</si>
  <si>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</si>
  <si>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</si>
  <si>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</si>
  <si>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</si>
  <si>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</si>
  <si>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</si>
  <si>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</si>
  <si>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</si>
  <si>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</si>
  <si>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</si>
  <si>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</si>
  <si>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</si>
  <si>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</si>
  <si>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</si>
  <si>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</si>
  <si>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</si>
  <si>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</si>
  <si>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</si>
  <si>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</si>
  <si>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</si>
  <si>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</si>
  <si>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</si>
  <si>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</si>
  <si>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</si>
  <si>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</si>
  <si>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</si>
  <si>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</si>
  <si>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</si>
  <si>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</si>
  <si>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</si>
  <si>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</si>
  <si>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</si>
  <si>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</si>
  <si>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</si>
  <si>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</si>
  <si>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</si>
  <si>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</si>
  <si>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</si>
  <si>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</si>
  <si>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</si>
  <si>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</si>
  <si>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</si>
  <si>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</si>
  <si>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</si>
  <si>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</si>
  <si>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</si>
  <si>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</si>
  <si>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</si>
  <si>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</si>
  <si>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</si>
  <si>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</si>
  <si>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</si>
  <si>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</si>
  <si>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</si>
  <si>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</si>
  <si>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</si>
  <si>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</si>
  <si>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</si>
  <si>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</si>
  <si>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</si>
  <si>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</si>
  <si>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</si>
  <si>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</si>
  <si>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</si>
  <si>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</si>
  <si>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</si>
  <si>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</si>
  <si>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</si>
  <si>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</si>
  <si>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</si>
  <si>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</si>
  <si>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</si>
  <si>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</si>
  <si>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</si>
  <si>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</si>
  <si>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</si>
  <si>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</si>
  <si>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</si>
  <si>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</si>
  <si>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</si>
  <si>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</si>
  <si>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</si>
  <si>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</si>
  <si>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</si>
  <si>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</si>
  <si>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</si>
  <si>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</si>
  <si>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</si>
  <si>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</si>
  <si>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</si>
  <si>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</si>
  <si>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</si>
  <si>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</si>
  <si>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</si>
  <si>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</si>
  <si>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</si>
  <si>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</si>
  <si>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</si>
  <si>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</si>
  <si>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</si>
  <si>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</si>
  <si>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</si>
  <si>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</si>
  <si>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</si>
  <si>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</si>
  <si>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</si>
  <si>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</si>
  <si>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</si>
  <si>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</si>
  <si>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</si>
  <si>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</si>
  <si>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</si>
  <si>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</si>
  <si>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</si>
  <si>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</si>
  <si>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</si>
  <si>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</si>
  <si>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</si>
  <si>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</si>
  <si>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</si>
  <si>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</si>
  <si>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</si>
  <si>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</si>
  <si>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</si>
  <si>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</si>
  <si>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</si>
  <si>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</si>
  <si>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</si>
  <si>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</si>
  <si>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</si>
  <si>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</si>
  <si>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</si>
  <si>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</si>
  <si>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</si>
  <si>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</si>
  <si>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</si>
  <si>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</si>
  <si>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</si>
  <si>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</si>
  <si>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</si>
  <si>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</si>
  <si>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</si>
  <si>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</si>
  <si>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</si>
  <si>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</si>
  <si>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</si>
  <si>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</si>
  <si>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</si>
  <si>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</si>
  <si>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</si>
  <si>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</si>
  <si>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</si>
  <si>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</si>
  <si>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</si>
  <si>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</si>
  <si>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</si>
  <si>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</si>
  <si>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</si>
  <si>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</si>
  <si>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</si>
  <si>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</si>
  <si>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</si>
  <si>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</si>
  <si>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</si>
  <si>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</si>
  <si>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</si>
  <si>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</si>
  <si>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</si>
  <si>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</si>
  <si>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</si>
  <si>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</si>
  <si>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</si>
  <si>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</si>
  <si>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</si>
  <si>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</si>
  <si>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</si>
  <si>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</si>
  <si>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</si>
  <si>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</si>
  <si>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</si>
  <si>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</si>
  <si>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</si>
  <si>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</si>
  <si>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</si>
  <si>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</si>
  <si>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</si>
  <si>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</si>
  <si>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</si>
  <si>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</si>
  <si>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</si>
  <si>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</si>
  <si>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</si>
  <si>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</si>
  <si>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</si>
  <si>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</si>
  <si>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</si>
  <si>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</si>
  <si>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</si>
  <si>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</si>
  <si>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</si>
  <si>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</si>
  <si>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</si>
  <si>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</si>
  <si>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</si>
  <si>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</si>
  <si>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</si>
  <si>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</si>
  <si>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</si>
  <si>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</si>
  <si>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</si>
  <si>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</si>
  <si>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</si>
  <si>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</si>
  <si>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</si>
  <si>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</si>
  <si>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</si>
  <si>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</si>
  <si>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</si>
  <si>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</si>
  <si>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</si>
  <si>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</si>
  <si>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</si>
  <si>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</si>
  <si>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</si>
  <si>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</si>
  <si>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</si>
  <si>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</si>
  <si>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</si>
  <si>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</si>
  <si>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</si>
  <si>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</si>
  <si>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</si>
  <si>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</si>
  <si>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</si>
  <si>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</si>
  <si>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</si>
  <si>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</si>
  <si>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</si>
  <si>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</si>
  <si>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</si>
  <si>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</si>
  <si>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</si>
  <si>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</si>
  <si>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</si>
  <si>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</si>
  <si>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</si>
  <si>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</si>
  <si>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</si>
  <si>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</si>
  <si>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</si>
  <si>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</si>
  <si>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</si>
  <si>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</si>
  <si>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</si>
  <si>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</si>
  <si>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</si>
  <si>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</si>
  <si>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</si>
  <si>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</si>
  <si>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</si>
  <si>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</si>
  <si>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</si>
  <si>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</si>
  <si>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</si>
  <si>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</si>
  <si>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</si>
  <si>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</si>
  <si>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</si>
  <si>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</si>
  <si>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</si>
  <si>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</si>
  <si>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</si>
  <si>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</si>
  <si>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</si>
  <si>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</si>
  <si>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</si>
  <si>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</si>
  <si>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</si>
  <si>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</si>
  <si>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</si>
  <si>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</si>
  <si>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</si>
  <si>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</si>
  <si>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</si>
  <si>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</si>
  <si>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</si>
  <si>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</si>
  <si>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</si>
  <si>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</si>
  <si>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</si>
  <si>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</si>
  <si>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</si>
  <si>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</si>
  <si>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</si>
  <si>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</si>
  <si>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</si>
  <si>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</si>
  <si>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</si>
  <si>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</si>
  <si>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</si>
  <si>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</si>
  <si>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</si>
  <si>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</si>
  <si>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</si>
  <si>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</si>
  <si>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</si>
  <si>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</si>
  <si>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</si>
  <si>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</si>
  <si>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</si>
  <si>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</si>
  <si>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</si>
  <si>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</si>
  <si>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</si>
  <si>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</si>
  <si>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</si>
  <si>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</si>
  <si>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</si>
  <si>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</si>
  <si>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</si>
  <si>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</si>
  <si>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</si>
  <si>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</si>
  <si>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</si>
  <si>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</si>
  <si>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</si>
  <si>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</si>
  <si>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</si>
  <si>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</si>
  <si>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</si>
  <si>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</si>
  <si>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</si>
  <si>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</si>
  <si>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</si>
  <si>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</si>
  <si>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</si>
  <si>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</si>
  <si>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</si>
  <si>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</si>
  <si>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</si>
  <si>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</si>
  <si>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</si>
  <si>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</si>
  <si>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</si>
  <si>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</si>
  <si>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</si>
  <si>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</si>
  <si>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</si>
  <si>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</si>
  <si>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</si>
  <si>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</si>
  <si>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</si>
  <si>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</si>
  <si>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</si>
  <si>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</si>
  <si>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</si>
  <si>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</si>
  <si>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</si>
  <si>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</si>
  <si>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</si>
  <si>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</si>
  <si>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</si>
  <si>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</si>
  <si>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</si>
  <si>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</si>
  <si>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</si>
  <si>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</si>
  <si>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</si>
  <si>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</si>
  <si>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</si>
  <si>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</si>
  <si>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</si>
  <si>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</si>
  <si>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</si>
  <si>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</si>
  <si>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</si>
  <si>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</si>
  <si>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</si>
  <si>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</si>
  <si>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</si>
  <si>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</si>
  <si>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</si>
  <si>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</si>
  <si>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</si>
  <si>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</si>
  <si>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</si>
  <si>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</si>
  <si>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</si>
  <si>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</si>
  <si>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</si>
  <si>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</si>
  <si>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</si>
  <si>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</si>
  <si>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</si>
  <si>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</si>
  <si>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</si>
  <si>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</si>
  <si>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</si>
  <si>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</si>
  <si>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</si>
  <si>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</si>
  <si>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</si>
  <si>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</si>
  <si>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</si>
  <si>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</si>
  <si>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</si>
  <si>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</si>
  <si>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</si>
  <si>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</si>
  <si>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</si>
  <si>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</si>
  <si>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</si>
  <si>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</si>
  <si>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</si>
  <si>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</si>
  <si>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</si>
  <si>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</si>
  <si>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</si>
  <si>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</si>
  <si>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</si>
  <si>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</si>
  <si>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</si>
  <si>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</si>
  <si>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</si>
  <si>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</si>
  <si>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</si>
  <si>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</si>
  <si>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</si>
  <si>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</si>
  <si>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</si>
  <si>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</si>
  <si>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</si>
  <si>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</si>
  <si>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</si>
  <si>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</si>
  <si>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</si>
  <si>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</si>
  <si>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</si>
  <si>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</si>
  <si>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</si>
  <si>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</si>
  <si>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</si>
  <si>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</si>
  <si>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</si>
  <si>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</si>
  <si>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</si>
  <si>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</si>
  <si>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</si>
  <si>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</si>
  <si>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</si>
  <si>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</si>
  <si>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</si>
  <si>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</si>
  <si>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</si>
  <si>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</si>
  <si>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</si>
  <si>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</si>
  <si>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</si>
  <si>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</si>
  <si>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</si>
  <si>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</si>
  <si>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</si>
  <si>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</si>
  <si>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</si>
  <si>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</si>
  <si>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</si>
  <si>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</si>
  <si>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</si>
  <si>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</si>
  <si>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</si>
  <si>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</si>
  <si>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</si>
  <si>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</si>
  <si>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</si>
  <si>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</si>
  <si>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</si>
  <si>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</si>
  <si>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</si>
  <si>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</si>
  <si>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</si>
  <si>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</si>
  <si>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</si>
  <si>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</si>
  <si>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</si>
  <si>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</si>
  <si>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</si>
  <si>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</si>
  <si>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</si>
  <si>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</si>
  <si>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</si>
  <si>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</si>
  <si>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</si>
  <si>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</si>
  <si>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</si>
  <si>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</si>
  <si>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</si>
  <si>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</si>
  <si>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</si>
  <si>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</si>
  <si>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</si>
  <si>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</si>
  <si>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</si>
  <si>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</si>
  <si>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</si>
  <si>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</si>
  <si>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</si>
  <si>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</si>
  <si>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</si>
  <si>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</si>
  <si>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</si>
  <si>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</si>
  <si>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</si>
  <si>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</si>
  <si>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</si>
  <si>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</si>
  <si>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</si>
  <si>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</si>
  <si>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</si>
  <si>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</si>
  <si>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</si>
  <si>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</si>
  <si>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</si>
  <si>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</si>
  <si>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</si>
  <si>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</si>
  <si>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</si>
  <si>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</si>
  <si>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</si>
  <si>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</si>
  <si>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</si>
  <si>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</si>
  <si>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</si>
  <si>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</si>
  <si>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</si>
  <si>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</si>
  <si>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</si>
  <si>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</si>
  <si>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</si>
  <si>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</si>
  <si>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</si>
  <si>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</si>
  <si>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</si>
  <si>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</si>
  <si>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</si>
  <si>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</si>
  <si>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</si>
  <si>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</si>
  <si>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</si>
  <si>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</si>
  <si>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</si>
  <si>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</si>
  <si>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</si>
  <si>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</si>
  <si>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</si>
  <si>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</si>
  <si>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</si>
  <si>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</si>
  <si>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</si>
  <si>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</si>
  <si>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</si>
  <si>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</si>
  <si>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</si>
  <si>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</si>
  <si>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</si>
  <si>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</si>
  <si>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</si>
  <si>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</si>
  <si>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</si>
  <si>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</si>
  <si>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</si>
  <si>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</si>
  <si>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</si>
  <si>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</si>
  <si>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</si>
  <si>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</si>
  <si>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</si>
  <si>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</si>
  <si>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</si>
  <si>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</si>
  <si>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</si>
  <si>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</si>
  <si>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</si>
  <si>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</si>
  <si>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</si>
  <si>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</si>
  <si>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</si>
  <si>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</si>
  <si>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</si>
  <si>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</si>
  <si>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</si>
  <si>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</si>
  <si>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</si>
  <si>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</si>
  <si>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</si>
  <si>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</si>
  <si>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</si>
  <si>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</si>
  <si>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</si>
  <si>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</si>
  <si>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</si>
  <si>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</si>
  <si>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</si>
  <si>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</si>
  <si>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</si>
  <si>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</si>
  <si>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</si>
  <si>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</si>
  <si>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</si>
  <si>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</si>
  <si>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</si>
  <si>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</si>
  <si>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</si>
  <si>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</si>
  <si>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</si>
  <si>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</si>
  <si>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</si>
  <si>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</si>
  <si>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</si>
  <si>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</si>
  <si>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</si>
  <si>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</si>
  <si>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</si>
  <si>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</si>
  <si>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</si>
  <si>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</si>
  <si>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</si>
  <si>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</si>
  <si>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</si>
  <si>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</si>
  <si>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</si>
  <si>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</si>
  <si>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</si>
  <si>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</si>
  <si>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</si>
  <si>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</si>
  <si>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</si>
  <si>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</si>
  <si>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</si>
  <si>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</si>
  <si>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</si>
  <si>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</si>
  <si>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</si>
  <si>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</si>
  <si>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</si>
  <si>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</si>
  <si>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</si>
  <si>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</si>
  <si>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</si>
  <si>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</si>
  <si>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</si>
  <si>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</si>
  <si>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</si>
  <si>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</si>
  <si>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</si>
  <si>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</si>
  <si>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</si>
  <si>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</si>
  <si>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</si>
  <si>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</si>
  <si>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</si>
  <si>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</si>
  <si>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</si>
  <si>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</si>
  <si>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</si>
  <si>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</si>
  <si>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</si>
  <si>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</si>
  <si>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</si>
  <si>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</si>
  <si>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</si>
  <si>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</si>
  <si>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</si>
  <si>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</si>
  <si>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</si>
  <si>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</si>
  <si>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</si>
  <si>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</si>
  <si>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</si>
  <si>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</si>
  <si>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</si>
  <si>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</si>
  <si>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</si>
  <si>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</si>
  <si>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</si>
  <si>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</si>
  <si>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</si>
  <si>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</si>
  <si>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</si>
  <si>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</si>
  <si>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</si>
  <si>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</si>
  <si>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</si>
  <si>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</si>
  <si>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</si>
  <si>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</si>
  <si>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</si>
  <si>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</si>
  <si>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</si>
  <si>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</si>
  <si>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</si>
  <si>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</si>
  <si>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</si>
  <si>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</si>
  <si>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</si>
  <si>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</si>
  <si>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</si>
  <si>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</si>
  <si>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</si>
  <si>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</si>
  <si>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</si>
  <si>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</si>
  <si>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</si>
  <si>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</si>
  <si>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</si>
  <si>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</si>
  <si>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</si>
  <si>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</si>
  <si>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</si>
  <si>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</si>
  <si>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</si>
  <si>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</si>
  <si>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</si>
  <si>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</si>
  <si>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</si>
  <si>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</si>
  <si>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</si>
  <si>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</si>
  <si>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</si>
  <si>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</si>
  <si>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</si>
  <si>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</si>
  <si>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</si>
  <si>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</si>
  <si>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</si>
  <si>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</si>
  <si>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</si>
  <si>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</si>
  <si>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</si>
  <si>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</si>
  <si>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</si>
  <si>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</si>
  <si>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</si>
  <si>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</si>
  <si>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</si>
  <si>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</si>
  <si>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</si>
  <si>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</si>
  <si>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</si>
  <si>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</si>
  <si>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</si>
  <si>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</si>
  <si>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</si>
  <si>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</si>
  <si>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</si>
  <si>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</si>
  <si>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</si>
  <si>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</si>
  <si>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</si>
  <si>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</si>
  <si>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</si>
  <si>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</si>
  <si>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</si>
  <si>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</si>
  <si>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</si>
  <si>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</si>
  <si>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</si>
  <si>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</si>
  <si>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</si>
  <si>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</si>
  <si>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</si>
  <si>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</si>
  <si>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</si>
  <si>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</si>
  <si>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</si>
  <si>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</si>
  <si>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</si>
  <si>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</si>
  <si>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</si>
  <si>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</si>
  <si>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</si>
  <si>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</si>
  <si>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</si>
  <si>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</si>
  <si>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</si>
  <si>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</si>
  <si>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</si>
  <si>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</si>
  <si>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</si>
  <si>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</si>
  <si>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</si>
  <si>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</si>
  <si>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</si>
  <si>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</si>
  <si>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</si>
  <si>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</si>
  <si>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</si>
  <si>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</si>
  <si>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</si>
  <si>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</si>
  <si>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</si>
  <si>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</si>
  <si>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</si>
  <si>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</si>
  <si>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</si>
  <si>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</si>
  <si>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</si>
  <si>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</si>
  <si>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</si>
  <si>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</si>
  <si>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</si>
  <si>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</si>
  <si>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</si>
  <si>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</si>
  <si>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</si>
  <si>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</si>
  <si>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</si>
  <si>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</si>
  <si>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</si>
  <si>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</si>
  <si>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</si>
  <si>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</si>
  <si>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</si>
  <si>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</si>
  <si>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</si>
  <si>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</si>
  <si>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</si>
  <si>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</si>
  <si>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</si>
  <si>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</si>
  <si>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</si>
  <si>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</si>
  <si>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</si>
  <si>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</si>
  <si>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</si>
  <si>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</si>
  <si>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</si>
  <si>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</si>
  <si>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</si>
  <si>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</si>
  <si>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</si>
  <si>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</si>
  <si>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</si>
  <si>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</si>
  <si>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</si>
  <si>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</si>
  <si>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</si>
  <si>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</si>
  <si>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</si>
  <si>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</si>
  <si>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</si>
  <si>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</si>
  <si>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</si>
  <si>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</si>
  <si>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</si>
  <si>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</si>
  <si>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</si>
  <si>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</si>
  <si>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</si>
  <si>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</si>
  <si>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</si>
  <si>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</si>
  <si>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</si>
  <si>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</si>
  <si>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</si>
  <si>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</si>
  <si>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</si>
  <si>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</si>
  <si>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</si>
  <si>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</si>
  <si>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</si>
  <si>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</si>
  <si>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</si>
  <si>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</si>
  <si>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</si>
  <si>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</si>
  <si>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</si>
  <si>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</si>
  <si>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</si>
  <si>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</si>
  <si>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</si>
  <si>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</si>
  <si>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</si>
  <si>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</si>
  <si>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</si>
  <si>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</si>
  <si>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</si>
  <si>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</si>
  <si>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</si>
  <si>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</si>
  <si>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</si>
  <si>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</si>
  <si>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</si>
  <si>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</si>
  <si>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</si>
  <si>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</si>
  <si>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</si>
  <si>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</si>
  <si>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</si>
  <si>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</si>
  <si>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</si>
  <si>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</si>
  <si>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</si>
  <si>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</si>
  <si>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</si>
  <si>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</si>
  <si>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</si>
  <si>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</si>
  <si>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</si>
  <si>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</si>
  <si>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</si>
  <si>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</si>
  <si>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</si>
  <si>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</si>
  <si>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</si>
  <si>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</si>
  <si>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</si>
  <si>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</si>
  <si>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</si>
  <si>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</si>
  <si>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</si>
  <si>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</si>
  <si>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</si>
  <si>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</si>
  <si>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</si>
  <si>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</si>
  <si>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</si>
  <si>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</si>
  <si>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</si>
  <si>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</si>
  <si>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</si>
  <si>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</si>
  <si>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</si>
  <si>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</si>
  <si>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</si>
  <si>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</si>
  <si>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</si>
  <si>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</si>
  <si>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</si>
  <si>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</si>
  <si>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</si>
  <si>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</si>
  <si>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</si>
  <si>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</si>
  <si>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</si>
  <si>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</si>
  <si>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</si>
  <si>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</si>
  <si>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</si>
  <si>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</si>
  <si>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</si>
  <si>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</si>
  <si>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</si>
  <si>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</si>
  <si>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</si>
  <si>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</si>
  <si>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</si>
  <si>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</si>
  <si>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</si>
  <si>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</si>
  <si>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</si>
  <si>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</si>
  <si>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</si>
  <si>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</si>
  <si>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</si>
  <si>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</si>
  <si>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</si>
  <si>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</si>
  <si>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</si>
  <si>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</si>
  <si>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</si>
  <si>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</si>
  <si>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</si>
  <si>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</si>
  <si>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</si>
  <si>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</si>
  <si>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</si>
  <si>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</si>
  <si>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</si>
  <si>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</si>
  <si>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</si>
  <si>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</si>
  <si>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</si>
  <si>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</si>
  <si>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</si>
  <si>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</si>
  <si>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</si>
  <si>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</si>
  <si>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</si>
  <si>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</si>
  <si>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</si>
  <si>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</si>
  <si>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</si>
  <si>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</si>
  <si>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</si>
  <si>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</si>
  <si>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</si>
  <si>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</si>
  <si>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</si>
  <si>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</si>
  <si>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</si>
  <si>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</si>
  <si>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</si>
  <si>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</si>
  <si>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</si>
  <si>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</si>
  <si>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</si>
  <si>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</si>
  <si>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</si>
  <si>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</si>
  <si>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</si>
  <si>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</si>
  <si>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</si>
  <si>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</si>
  <si>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</si>
  <si>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</si>
  <si>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</si>
  <si>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</si>
  <si>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</si>
  <si>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</si>
  <si>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</si>
  <si>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</si>
  <si>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</si>
  <si>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</si>
  <si>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</si>
  <si>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</si>
  <si>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</si>
  <si>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</si>
  <si>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</si>
  <si>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</si>
  <si>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</si>
  <si>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</si>
  <si>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</si>
  <si>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</si>
  <si>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</si>
  <si>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</si>
  <si>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</si>
  <si>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</si>
  <si>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</si>
  <si>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</si>
  <si>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</si>
  <si>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</si>
  <si>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</si>
  <si>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</si>
  <si>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</si>
  <si>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</si>
  <si>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</si>
  <si>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</si>
  <si>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</si>
  <si>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</si>
  <si>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</si>
  <si>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</si>
  <si>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</si>
  <si>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</si>
  <si>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</si>
  <si>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</si>
  <si>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</si>
  <si>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</si>
  <si>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</si>
  <si>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</si>
  <si>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</si>
  <si>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</si>
  <si>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</si>
  <si>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</si>
  <si>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</si>
  <si>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</si>
  <si>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</si>
  <si>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</si>
  <si>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</si>
  <si>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</si>
  <si>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</si>
  <si>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</si>
  <si>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</si>
  <si>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</si>
  <si>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</si>
  <si>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</si>
  <si>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</si>
  <si>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</si>
  <si>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</si>
  <si>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</si>
  <si>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</si>
  <si>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</si>
  <si>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</si>
  <si>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</si>
  <si>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</si>
  <si>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</si>
  <si>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</si>
  <si>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</si>
  <si>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</si>
  <si>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</si>
  <si>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</si>
  <si>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</si>
  <si>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</si>
  <si>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</si>
  <si>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</si>
  <si>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</si>
  <si>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</si>
  <si>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</si>
  <si>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</si>
  <si>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</si>
  <si>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</si>
  <si>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</si>
  <si>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</si>
  <si>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</si>
  <si>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</si>
  <si>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</si>
  <si>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</si>
  <si>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</si>
  <si>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</si>
  <si>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</si>
  <si>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</si>
  <si>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</si>
  <si>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</si>
  <si>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</si>
  <si>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</si>
  <si>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</si>
  <si>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</si>
  <si>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</si>
  <si>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</si>
  <si>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</si>
  <si>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</si>
  <si>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</si>
  <si>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</si>
  <si>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</si>
  <si>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</si>
  <si>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</si>
  <si>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</si>
  <si>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</si>
  <si>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</si>
  <si>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</si>
  <si>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</si>
  <si>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</si>
  <si>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</si>
  <si>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</si>
  <si>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</si>
  <si>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</si>
  <si>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</si>
  <si>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</si>
  <si>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</si>
  <si>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</si>
  <si>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</si>
  <si>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</si>
  <si>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</si>
  <si>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</si>
  <si>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</si>
  <si>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</si>
  <si>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</si>
  <si>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</si>
  <si>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</si>
  <si>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</si>
  <si>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</si>
  <si>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</si>
  <si>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</si>
  <si>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</si>
  <si>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</si>
  <si>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</si>
  <si>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</si>
  <si>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</si>
  <si>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</si>
  <si>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</si>
  <si>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</si>
  <si>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</si>
  <si>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</si>
  <si>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</si>
  <si>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</si>
  <si>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</si>
  <si>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</si>
  <si>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</si>
  <si>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</si>
  <si>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</si>
  <si>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</si>
  <si>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</si>
  <si>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</si>
  <si>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</si>
  <si>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</si>
  <si>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</si>
  <si>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</si>
  <si>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</si>
  <si>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</si>
  <si>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</si>
  <si>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</si>
  <si>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</si>
  <si>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</si>
  <si>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</si>
  <si>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</si>
  <si>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</si>
  <si>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</si>
  <si>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</si>
  <si>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</si>
  <si>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</si>
  <si>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</si>
  <si>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</si>
  <si>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</si>
  <si>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</si>
  <si>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</si>
  <si>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</si>
  <si>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</si>
  <si>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</si>
  <si>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</si>
  <si>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</si>
  <si>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</si>
  <si>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</si>
  <si>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</si>
  <si>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</si>
  <si>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</si>
  <si>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</si>
  <si>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</si>
  <si>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</si>
  <si>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</si>
  <si>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</si>
  <si>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</si>
  <si>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</si>
  <si>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</si>
  <si>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</si>
  <si>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</si>
  <si>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</si>
  <si>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</si>
  <si>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</si>
  <si>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</si>
  <si>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</si>
  <si>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</si>
  <si>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</si>
  <si>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</si>
  <si>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</si>
  <si>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</si>
  <si>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</si>
  <si>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</si>
  <si>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</si>
  <si>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</si>
  <si>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</si>
  <si>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</si>
  <si>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</si>
  <si>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</si>
  <si>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</si>
  <si>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</si>
  <si>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</si>
  <si>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</si>
  <si>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</si>
  <si>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</si>
  <si>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</si>
  <si>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</si>
  <si>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</si>
  <si>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</si>
  <si>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</si>
  <si>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</si>
  <si>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</si>
  <si>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</si>
  <si>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</si>
  <si>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</si>
  <si>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</si>
  <si>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</si>
  <si>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</si>
  <si>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</si>
  <si>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</si>
  <si>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</si>
  <si>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</si>
  <si>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</si>
  <si>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</si>
  <si>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</si>
  <si>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</si>
  <si>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</si>
  <si>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</si>
  <si>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</si>
  <si>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</si>
  <si>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</si>
  <si>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</si>
  <si>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</si>
  <si>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</si>
  <si>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</si>
  <si>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</si>
  <si>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</si>
  <si>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</si>
  <si>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</si>
  <si>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</si>
  <si>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</si>
  <si>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</si>
  <si>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</si>
  <si>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</si>
  <si>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</si>
  <si>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</si>
  <si>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</si>
  <si>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</si>
  <si>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</si>
  <si>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</si>
  <si>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</si>
  <si>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</si>
  <si>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</si>
  <si>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</si>
  <si>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</si>
  <si>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</si>
  <si>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</si>
  <si>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</si>
  <si>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</si>
  <si>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</si>
  <si>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</si>
  <si>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</si>
  <si>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</si>
  <si>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</si>
  <si>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</si>
  <si>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</si>
  <si>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</si>
  <si>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</si>
  <si>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</si>
  <si>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</si>
  <si>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</si>
  <si>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</si>
  <si>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</si>
  <si>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</si>
  <si>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</si>
  <si>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</si>
  <si>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</si>
  <si>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</si>
  <si>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</si>
  <si>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</si>
  <si>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</si>
  <si>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</si>
  <si>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</si>
  <si>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</si>
  <si>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</si>
  <si>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</si>
  <si>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</si>
  <si>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</si>
  <si>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</si>
  <si>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</si>
  <si>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</si>
  <si>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</si>
  <si>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</si>
  <si>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</si>
  <si>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</si>
  <si>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</si>
  <si>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</si>
  <si>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</si>
  <si>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</si>
  <si>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</si>
  <si>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</si>
  <si>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</si>
  <si>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</si>
  <si>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</si>
  <si>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</si>
  <si>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</si>
  <si>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</si>
  <si>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</si>
  <si>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</si>
  <si>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</si>
  <si>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</si>
  <si>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</si>
  <si>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</si>
  <si>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</si>
  <si>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</si>
  <si>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</si>
  <si>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</si>
  <si>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</si>
  <si>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</si>
  <si>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</si>
  <si>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</si>
  <si>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</si>
  <si>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</si>
  <si>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</si>
  <si>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</si>
  <si>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</si>
  <si>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</si>
  <si>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</si>
  <si>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</si>
  <si>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</si>
  <si>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</si>
  <si>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</si>
  <si>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</si>
  <si>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</si>
  <si>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</si>
  <si>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</si>
  <si>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</si>
  <si>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</si>
  <si>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</si>
  <si>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</si>
  <si>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</si>
  <si>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</si>
  <si>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</si>
  <si>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</si>
  <si>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</si>
  <si>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</si>
  <si>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</si>
  <si>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</si>
  <si>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</si>
  <si>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</si>
  <si>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</si>
  <si>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</si>
  <si>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</si>
  <si>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</si>
  <si>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</si>
  <si>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</si>
  <si>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</si>
  <si>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</si>
  <si>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</si>
  <si>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</si>
  <si>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</si>
  <si>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</si>
  <si>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</si>
  <si>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</si>
  <si>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</si>
  <si>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</si>
  <si>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</si>
  <si>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</si>
  <si>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</si>
  <si>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</si>
  <si>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</si>
  <si>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</si>
  <si>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</si>
  <si>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</si>
  <si>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</si>
  <si>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</si>
  <si>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</si>
  <si>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</si>
  <si>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</si>
  <si>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</si>
  <si>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</si>
  <si>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</si>
  <si>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</si>
  <si>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</si>
  <si>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</si>
  <si>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</si>
  <si>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</si>
  <si>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</si>
  <si>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</si>
  <si>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</si>
  <si>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</si>
  <si>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</si>
  <si>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</si>
  <si>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</si>
  <si>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</si>
  <si>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</si>
  <si>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</si>
  <si>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</si>
  <si>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</si>
  <si>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</si>
  <si>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</si>
  <si>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</si>
  <si>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</si>
  <si>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</si>
  <si>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</si>
  <si>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</si>
  <si>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</si>
  <si>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</si>
  <si>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</si>
  <si>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</si>
  <si>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</si>
  <si>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</si>
  <si>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</si>
  <si>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</si>
  <si>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</si>
  <si>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</si>
  <si>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</si>
  <si>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</si>
  <si>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</si>
  <si>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</si>
  <si>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</si>
  <si>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</si>
  <si>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</si>
  <si>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</si>
  <si>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</si>
  <si>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</si>
  <si>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</si>
  <si>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</si>
  <si>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</si>
  <si>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</si>
  <si>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</si>
  <si>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</si>
  <si>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</si>
  <si>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</si>
  <si>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</si>
  <si>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</si>
  <si>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</si>
  <si>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</si>
  <si>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</si>
  <si>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</si>
  <si>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</si>
  <si>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</si>
  <si>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</si>
  <si>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</si>
  <si>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</si>
  <si>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</si>
  <si>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</si>
  <si>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</si>
  <si>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</si>
  <si>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</si>
  <si>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</si>
  <si>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</si>
  <si>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</si>
  <si>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</si>
  <si>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</si>
  <si>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</si>
  <si>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</si>
  <si>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</si>
  <si>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</si>
  <si>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</si>
  <si>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</si>
  <si>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</si>
  <si>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</si>
  <si>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</si>
  <si>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</si>
  <si>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</si>
  <si>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</si>
  <si>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</si>
  <si>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</si>
  <si>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</si>
  <si>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</si>
  <si>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</si>
  <si>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</si>
  <si>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</si>
  <si>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</si>
  <si>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</si>
  <si>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</si>
  <si>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</si>
  <si>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</si>
  <si>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</si>
  <si>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</si>
  <si>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</si>
  <si>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</si>
  <si>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</si>
  <si>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</si>
  <si>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</si>
  <si>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</si>
  <si>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</si>
  <si>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</si>
  <si>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</si>
  <si>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</si>
  <si>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</si>
  <si>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</si>
  <si>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</si>
  <si>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</si>
  <si>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</si>
  <si>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</si>
  <si>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</si>
  <si>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</si>
  <si>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</si>
  <si>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</si>
  <si>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</si>
  <si>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</si>
  <si>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</si>
  <si>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</si>
  <si>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</si>
  <si>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</si>
  <si>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</si>
  <si>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</si>
  <si>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</si>
  <si>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</si>
  <si>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</si>
  <si>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</si>
  <si>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</si>
  <si>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</si>
  <si>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</si>
  <si>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</si>
  <si>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</si>
  <si>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</si>
  <si>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</si>
  <si>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</si>
  <si>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</si>
  <si>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</si>
  <si>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</si>
  <si>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</si>
  <si>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</si>
  <si>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</si>
  <si>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</si>
  <si>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</si>
  <si>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</si>
  <si>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</si>
  <si>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</si>
  <si>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</si>
  <si>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</si>
  <si>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</si>
  <si>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</si>
  <si>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</si>
  <si>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</si>
  <si>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</si>
  <si>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</si>
  <si>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</si>
  <si>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</si>
  <si>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</si>
  <si>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</si>
  <si>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</si>
  <si>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</si>
  <si>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</si>
  <si>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</si>
  <si>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</si>
  <si>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</si>
  <si>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</si>
  <si>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</si>
  <si>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</si>
  <si>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</si>
  <si>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</si>
  <si>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</si>
  <si>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</si>
  <si>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</si>
  <si>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</si>
  <si>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</si>
  <si>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</si>
  <si>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</si>
  <si>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</si>
  <si>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</si>
  <si>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</si>
  <si>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</si>
  <si>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</si>
  <si>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</si>
  <si>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</si>
  <si>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</si>
  <si>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</si>
  <si>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</si>
  <si>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</si>
  <si>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</si>
  <si>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</si>
  <si>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</si>
  <si>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</si>
  <si>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</si>
  <si>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</si>
  <si>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</si>
  <si>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</si>
  <si>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</si>
  <si>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</si>
  <si>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</si>
  <si>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</si>
  <si>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</si>
  <si>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</si>
  <si>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</si>
  <si>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</si>
  <si>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</si>
  <si>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</si>
  <si>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</si>
  <si>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</si>
  <si>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</si>
  <si>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</si>
  <si>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</si>
  <si>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</si>
  <si>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</si>
  <si>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</si>
  <si>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</si>
  <si>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</si>
  <si>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</si>
  <si>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</si>
  <si>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</si>
  <si>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</si>
  <si>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</si>
  <si>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</si>
  <si>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</si>
  <si>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</si>
  <si>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</si>
  <si>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</si>
  <si>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</si>
  <si>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</si>
  <si>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</si>
  <si>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</si>
  <si>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</si>
  <si>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</si>
  <si>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</si>
  <si>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</si>
  <si>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</si>
  <si>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</si>
  <si>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</si>
  <si>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</si>
  <si>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</si>
  <si>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</si>
  <si>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</si>
  <si>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</si>
  <si>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</si>
  <si>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</si>
  <si>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</si>
  <si>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</si>
  <si>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</si>
  <si>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</si>
  <si>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</si>
  <si>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</si>
  <si>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</si>
  <si>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</si>
  <si>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</si>
  <si>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</si>
  <si>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</si>
  <si>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</si>
  <si>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</si>
  <si>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</si>
  <si>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</si>
  <si>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</si>
  <si>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</si>
  <si>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</si>
  <si>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</si>
  <si>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</si>
  <si>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</si>
  <si>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</si>
  <si>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</si>
  <si>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</si>
  <si>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</si>
  <si>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</si>
  <si>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</si>
  <si>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</si>
  <si>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</si>
  <si>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</si>
  <si>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</si>
  <si>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</si>
  <si>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</si>
  <si>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</si>
  <si>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</si>
  <si>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</si>
  <si>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</si>
  <si>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</si>
  <si>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</si>
  <si>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</si>
  <si>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</si>
  <si>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</si>
  <si>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</si>
  <si>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</si>
  <si>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</si>
  <si>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</si>
  <si>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</si>
  <si>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</si>
  <si>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</si>
  <si>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</si>
  <si>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</si>
  <si>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</si>
  <si>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</si>
  <si>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</si>
  <si>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</si>
  <si>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</si>
  <si>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</si>
  <si>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</si>
  <si>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</si>
  <si>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</si>
  <si>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</si>
  <si>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</si>
  <si>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</si>
  <si>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</si>
  <si>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</si>
  <si>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</si>
  <si>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</si>
  <si>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</si>
  <si>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</si>
  <si>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</si>
  <si>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</si>
  <si>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</si>
  <si>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</si>
  <si>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</si>
  <si>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</si>
  <si>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</si>
  <si>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</si>
  <si>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</si>
  <si>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</si>
  <si>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</si>
  <si>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</si>
  <si>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</si>
  <si>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</si>
  <si>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</si>
  <si>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</si>
  <si>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</si>
  <si>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</si>
  <si>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</si>
  <si>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</si>
  <si>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</si>
  <si>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</si>
  <si>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</si>
  <si>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</si>
  <si>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</si>
  <si>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</si>
  <si>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</si>
  <si>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</si>
  <si>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</si>
  <si>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</si>
  <si>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</si>
  <si>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</si>
  <si>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</si>
  <si>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</si>
  <si>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</si>
  <si>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</si>
  <si>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</si>
  <si>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</si>
  <si>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</si>
  <si>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</si>
  <si>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</si>
  <si>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</si>
  <si>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</si>
  <si>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</si>
  <si>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</si>
  <si>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</si>
  <si>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</si>
  <si>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</si>
  <si>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</si>
  <si>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</si>
  <si>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</si>
  <si>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</si>
  <si>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</si>
  <si>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</si>
  <si>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</si>
  <si>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</si>
  <si>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</si>
  <si>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</si>
  <si>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</si>
  <si>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</si>
  <si>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</si>
  <si>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</si>
  <si>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</si>
  <si>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</si>
  <si>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</si>
  <si>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</si>
  <si>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</si>
  <si>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</si>
  <si>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</si>
  <si>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</si>
  <si>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</si>
  <si>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</si>
  <si>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</si>
  <si>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</si>
  <si>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</si>
  <si>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</si>
  <si>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</si>
  <si>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</si>
  <si>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</si>
  <si>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</si>
  <si>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</si>
  <si>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</si>
  <si>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</si>
  <si>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</si>
  <si>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</si>
  <si>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</si>
  <si>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</si>
  <si>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</si>
  <si>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</si>
  <si>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</si>
  <si>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</si>
  <si>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</si>
  <si>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</si>
  <si>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</si>
  <si>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</si>
  <si>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</si>
  <si>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</si>
  <si>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</si>
  <si>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</si>
  <si>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</si>
  <si>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</si>
  <si>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</si>
  <si>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</si>
  <si>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</si>
  <si>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</si>
  <si>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</si>
  <si>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</si>
  <si>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</si>
  <si>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</si>
  <si>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</si>
  <si>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</si>
  <si>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</si>
  <si>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</si>
  <si>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</si>
  <si>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</si>
  <si>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</si>
  <si>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</si>
  <si>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</si>
  <si>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</si>
  <si>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</si>
  <si>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</si>
  <si>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</si>
  <si>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</si>
  <si>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</si>
  <si>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</si>
  <si>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</si>
  <si>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</si>
  <si>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</si>
  <si>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</si>
  <si>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</si>
  <si>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</si>
  <si>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</si>
  <si>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</si>
  <si>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</si>
  <si>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</si>
  <si>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</si>
  <si>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</si>
  <si>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</si>
  <si>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</si>
  <si>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</si>
  <si>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</si>
  <si>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</si>
  <si>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</si>
  <si>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</si>
  <si>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</si>
  <si>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</si>
  <si>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</si>
  <si>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</si>
  <si>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</si>
  <si>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</si>
  <si>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</si>
  <si>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</si>
  <si>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</si>
  <si>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</si>
  <si>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</si>
  <si>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</si>
  <si>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</si>
  <si>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</si>
  <si>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</si>
  <si>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</si>
  <si>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</si>
  <si>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</si>
  <si>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</si>
  <si>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</si>
  <si>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</si>
  <si>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</si>
  <si>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</si>
  <si>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</si>
  <si>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</si>
  <si>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</si>
  <si>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</si>
  <si>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</si>
  <si>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</si>
  <si>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</si>
  <si>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</si>
  <si>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</si>
  <si>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</si>
  <si>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</si>
  <si>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</si>
  <si>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</si>
  <si>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</si>
  <si>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</si>
  <si>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</si>
  <si>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</si>
  <si>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</si>
  <si>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</si>
  <si>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</si>
  <si>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</si>
  <si>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</si>
  <si>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</si>
  <si>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</si>
  <si>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</si>
  <si>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</si>
  <si>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</si>
  <si>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</si>
  <si>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</si>
  <si>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</si>
  <si>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</si>
  <si>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</si>
  <si>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</si>
  <si>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</si>
  <si>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</si>
  <si>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</si>
  <si>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</si>
  <si>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</si>
  <si>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</si>
  <si>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</si>
  <si>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</si>
  <si>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</si>
  <si>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</si>
  <si>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</si>
  <si>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</si>
  <si>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</si>
  <si>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</si>
  <si>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</si>
  <si>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</si>
  <si>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</si>
  <si>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</si>
  <si>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</si>
  <si>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</si>
  <si>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</si>
  <si>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</si>
  <si>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</si>
  <si>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</si>
  <si>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</si>
  <si>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</si>
  <si>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</si>
  <si>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</si>
  <si>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</si>
  <si>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</si>
  <si>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</si>
  <si>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</si>
  <si>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</si>
  <si>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</si>
  <si>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</si>
  <si>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</si>
  <si>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</si>
  <si>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</si>
  <si>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</si>
  <si>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</si>
  <si>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</si>
  <si>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</si>
  <si>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</si>
  <si>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</si>
  <si>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</si>
  <si>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</si>
  <si>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</si>
  <si>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</si>
  <si>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</si>
  <si>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</si>
  <si>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</si>
  <si>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</si>
  <si>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</si>
  <si>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</si>
  <si>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</si>
  <si>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</si>
  <si>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</si>
  <si>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</si>
  <si>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</si>
  <si>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</si>
  <si>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</si>
  <si>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</si>
  <si>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</si>
  <si>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</si>
  <si>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</si>
  <si>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</si>
  <si>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</si>
  <si>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</si>
  <si>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</si>
  <si>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</si>
  <si>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</si>
  <si>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</si>
  <si>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</si>
  <si>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</si>
  <si>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</si>
  <si>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</si>
  <si>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</si>
  <si>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</si>
  <si>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</si>
  <si>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</si>
  <si>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</si>
  <si>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</si>
  <si>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</si>
  <si>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</si>
  <si>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</si>
  <si>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</si>
  <si>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</si>
  <si>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</si>
  <si>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</si>
  <si>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</si>
  <si>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</si>
  <si>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</si>
  <si>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</si>
  <si>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</si>
  <si>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</si>
  <si>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</si>
  <si>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</si>
  <si>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</si>
  <si>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</si>
  <si>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</si>
  <si>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</si>
  <si>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</si>
  <si>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</si>
  <si>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</si>
  <si>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</si>
  <si>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</si>
  <si>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</si>
  <si>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</si>
  <si>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</si>
  <si>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</si>
  <si>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</si>
  <si>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</si>
  <si>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</si>
  <si>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</si>
  <si>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</si>
  <si>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</si>
  <si>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</si>
  <si>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</si>
  <si>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</si>
  <si>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</si>
  <si>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</si>
  <si>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</si>
  <si>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</si>
  <si>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</si>
  <si>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</si>
  <si>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</si>
  <si>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</si>
  <si>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</si>
  <si>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</si>
  <si>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</si>
  <si>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</si>
  <si>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</si>
  <si>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</si>
  <si>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</si>
  <si>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</si>
  <si>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</si>
  <si>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</si>
  <si>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</si>
  <si>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</si>
  <si>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</si>
  <si>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</si>
  <si>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</si>
  <si>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</si>
  <si>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</si>
  <si>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</si>
  <si>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</si>
  <si>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</si>
  <si>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</si>
  <si>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</si>
  <si>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</si>
  <si>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</si>
  <si>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</si>
  <si>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</si>
  <si>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</si>
  <si>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</si>
  <si>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</si>
  <si>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</si>
  <si>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</si>
  <si>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</si>
  <si>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</si>
  <si>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</si>
  <si>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</si>
  <si>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</si>
  <si>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</si>
  <si>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</si>
  <si>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</si>
  <si>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</si>
  <si>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</si>
  <si>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</si>
  <si>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</si>
  <si>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</si>
  <si>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</si>
  <si>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</si>
  <si>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</si>
  <si>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</si>
  <si>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</si>
  <si>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</si>
  <si>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</si>
  <si>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</si>
  <si>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</si>
  <si>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</si>
  <si>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</si>
  <si>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</si>
  <si>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</si>
  <si>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</si>
  <si>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</si>
  <si>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</si>
  <si>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</si>
  <si>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</si>
  <si>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</si>
  <si>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</si>
  <si>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</si>
  <si>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</si>
  <si>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</si>
  <si>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</si>
  <si>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</si>
  <si>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</si>
  <si>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</si>
  <si>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</si>
  <si>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</si>
  <si>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</si>
  <si>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</si>
  <si>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</si>
  <si>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</si>
  <si>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</si>
  <si>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</si>
  <si>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</si>
  <si>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</si>
  <si>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</si>
  <si>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</si>
  <si>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</si>
  <si>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</si>
  <si>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</si>
  <si>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</si>
  <si>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</si>
  <si>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</si>
  <si>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</si>
  <si>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</si>
  <si>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</si>
  <si>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</si>
  <si>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</si>
  <si>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</si>
  <si>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</si>
  <si>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</si>
  <si>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</si>
  <si>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</si>
  <si>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</si>
  <si>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</si>
  <si>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</si>
  <si>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</si>
  <si>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</si>
  <si>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</si>
  <si>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</si>
  <si>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</si>
  <si>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</si>
  <si>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</si>
  <si>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</si>
  <si>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</si>
  <si>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</si>
  <si>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</si>
  <si>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</si>
  <si>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</si>
  <si>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</si>
  <si>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</si>
  <si>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</si>
  <si>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</si>
  <si>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</si>
  <si>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</si>
  <si>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</si>
  <si>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</si>
  <si>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</si>
  <si>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</si>
  <si>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</si>
  <si>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</si>
  <si>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</si>
  <si>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</si>
  <si>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</si>
  <si>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</si>
  <si>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</si>
  <si>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</si>
  <si>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</si>
  <si>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</si>
  <si>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</si>
  <si>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</si>
  <si>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</si>
  <si>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</si>
  <si>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</si>
  <si>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</si>
  <si>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</si>
  <si>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</si>
  <si>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</si>
  <si>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</si>
  <si>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</si>
  <si>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</si>
  <si>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</si>
  <si>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</si>
  <si>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</si>
  <si>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</si>
  <si>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</si>
  <si>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</si>
  <si>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</si>
  <si>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</si>
  <si>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</si>
  <si>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</si>
  <si>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</si>
  <si>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</si>
  <si>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</si>
  <si>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</si>
  <si>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</si>
  <si>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</si>
  <si>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</si>
  <si>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</si>
  <si>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</si>
  <si>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</si>
  <si>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</si>
  <si>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</si>
  <si>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</si>
  <si>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</si>
  <si>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</si>
  <si>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</si>
  <si>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</si>
  <si>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</si>
  <si>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</si>
  <si>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</si>
  <si>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</si>
  <si>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</si>
  <si>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</si>
  <si>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</si>
  <si>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</si>
  <si>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</si>
  <si>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</si>
  <si>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</si>
  <si>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</si>
  <si>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</si>
  <si>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</si>
  <si>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</si>
  <si>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</si>
  <si>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</si>
  <si>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</si>
  <si>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</si>
  <si>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</si>
  <si>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</si>
  <si>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</si>
  <si>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</si>
  <si>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</si>
  <si>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</si>
  <si>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</si>
  <si>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</si>
  <si>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</si>
  <si>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</si>
  <si>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</si>
  <si>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</si>
  <si>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</si>
  <si>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</si>
  <si>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</si>
  <si>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</si>
  <si>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</si>
  <si>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</si>
  <si>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</si>
  <si>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</si>
  <si>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</si>
  <si>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</si>
  <si>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</si>
  <si>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</si>
  <si>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</si>
  <si>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</si>
  <si>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</si>
  <si>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</si>
  <si>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</si>
  <si>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</si>
  <si>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</si>
  <si>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</si>
  <si>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</si>
  <si>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</si>
  <si>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</si>
  <si>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</si>
  <si>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</si>
  <si>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</si>
  <si>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</si>
  <si>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</si>
  <si>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</si>
  <si>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</si>
  <si>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</si>
  <si>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</si>
  <si>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</si>
  <si>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</si>
  <si>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</si>
  <si>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</si>
  <si>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</si>
  <si>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</si>
  <si>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</si>
  <si>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</si>
  <si>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</si>
  <si>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</si>
  <si>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</si>
  <si>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</si>
  <si>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</si>
  <si>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</si>
  <si>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</si>
  <si>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</si>
  <si>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</si>
  <si>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</si>
  <si>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</si>
  <si>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</si>
  <si>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</si>
  <si>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</si>
  <si>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</si>
  <si>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</si>
  <si>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</si>
  <si>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</si>
  <si>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</si>
  <si>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</si>
  <si>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</si>
  <si>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</si>
  <si>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</si>
  <si>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</si>
  <si>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</si>
  <si>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</si>
  <si>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</si>
  <si>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</si>
  <si>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</si>
  <si>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</si>
  <si>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</si>
  <si>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</si>
  <si>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</si>
  <si>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</si>
  <si>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</si>
  <si>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</si>
  <si>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</si>
  <si>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</si>
  <si>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</si>
  <si>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</si>
  <si>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</si>
  <si>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</si>
  <si>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</si>
  <si>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</si>
  <si>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</si>
  <si>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</si>
  <si>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</si>
  <si>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</si>
  <si>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</si>
  <si>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</si>
  <si>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</si>
  <si>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</si>
  <si>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</si>
  <si>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</si>
  <si>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</si>
  <si>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</si>
  <si>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</si>
  <si>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</si>
  <si>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</si>
  <si>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</si>
  <si>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</si>
  <si>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</si>
  <si>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</si>
  <si>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</si>
  <si>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</si>
  <si>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</si>
  <si>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</si>
  <si>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</si>
  <si>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</si>
  <si>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</si>
  <si>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</si>
  <si>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</si>
  <si>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</si>
  <si>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</si>
  <si>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</si>
  <si>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</si>
  <si>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</si>
  <si>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</si>
  <si>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</si>
  <si>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</si>
  <si>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</si>
  <si>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</si>
  <si>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</si>
  <si>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</si>
  <si>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</si>
  <si>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</si>
  <si>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</si>
  <si>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</si>
  <si>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</si>
  <si>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</si>
  <si>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</si>
  <si>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</si>
  <si>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</si>
  <si>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</si>
  <si>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</si>
  <si>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</si>
  <si>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</si>
  <si>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</si>
  <si>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</si>
  <si>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</si>
  <si>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</si>
  <si>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</si>
  <si>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</si>
  <si>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</si>
  <si>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</si>
  <si>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</si>
  <si>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</si>
  <si>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</si>
  <si>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</si>
  <si>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</si>
  <si>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</si>
  <si>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</si>
  <si>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</si>
  <si>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</si>
  <si>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</si>
  <si>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</si>
  <si>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</si>
  <si>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</si>
  <si>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</si>
  <si>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</si>
  <si>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</si>
  <si>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</si>
  <si>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</si>
  <si>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</si>
  <si>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</si>
  <si>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</si>
  <si>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</si>
  <si>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</si>
  <si>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</si>
  <si>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</si>
  <si>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</si>
  <si>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</si>
  <si>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</si>
  <si>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</si>
  <si>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</si>
  <si>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</si>
  <si>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</si>
  <si>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</si>
  <si>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</si>
  <si>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</si>
  <si>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</si>
  <si>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</si>
  <si>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</si>
  <si>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</si>
  <si>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</si>
  <si>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</si>
  <si>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</si>
  <si>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</si>
  <si>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</si>
  <si>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</si>
  <si>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</si>
  <si>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</si>
  <si>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</si>
  <si>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</si>
  <si>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</si>
  <si>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</si>
  <si>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</si>
  <si>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</si>
  <si>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</si>
  <si>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</si>
  <si>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</si>
  <si>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</si>
  <si>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</si>
  <si>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</si>
  <si>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</si>
  <si>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</si>
  <si>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</si>
  <si>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</si>
  <si>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</si>
  <si>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</si>
  <si>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</si>
  <si>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</si>
  <si>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</si>
  <si>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</si>
  <si>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</si>
  <si>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</si>
  <si>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</si>
  <si>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</si>
  <si>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</si>
  <si>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</si>
  <si>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</si>
  <si>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</si>
  <si>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</si>
  <si>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</si>
  <si>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</si>
  <si>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</si>
  <si>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</si>
  <si>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</si>
  <si>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</si>
  <si>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</si>
  <si>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</si>
  <si>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</si>
  <si>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</si>
  <si>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</si>
  <si>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</si>
  <si>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</si>
  <si>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</si>
  <si>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</si>
  <si>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</si>
  <si>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</si>
  <si>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</si>
  <si>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</si>
  <si>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</si>
  <si>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</si>
  <si>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</si>
  <si>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</si>
  <si>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</si>
  <si>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</si>
  <si>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</si>
  <si>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</si>
  <si>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</si>
  <si>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</si>
  <si>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</si>
  <si>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</si>
  <si>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</si>
  <si>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</si>
  <si>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</si>
  <si>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</si>
  <si>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</si>
  <si>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</si>
  <si>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</si>
  <si>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</si>
  <si>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</si>
  <si>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</si>
  <si>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</si>
  <si>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</si>
  <si>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</si>
  <si>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</si>
  <si>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</si>
  <si>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</si>
  <si>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</si>
  <si>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</si>
  <si>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</si>
  <si>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</si>
  <si>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</si>
  <si>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</si>
  <si>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</si>
  <si>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</si>
  <si>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</si>
  <si>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</si>
  <si>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</si>
  <si>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</si>
  <si>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</si>
  <si>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</si>
  <si>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</si>
  <si>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</si>
  <si>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</si>
  <si>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</si>
  <si>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</si>
  <si>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</si>
  <si>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</si>
  <si>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</si>
  <si>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</si>
  <si>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</si>
  <si>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</si>
  <si>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</si>
  <si>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</si>
  <si>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</si>
  <si>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</si>
  <si>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</si>
  <si>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</si>
  <si>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</si>
  <si>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</si>
  <si>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</si>
  <si>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</si>
  <si>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</si>
  <si>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</si>
  <si>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</si>
  <si>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</si>
  <si>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</si>
  <si>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</si>
  <si>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</si>
  <si>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</si>
  <si>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</si>
  <si>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</si>
  <si>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</si>
  <si>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</si>
  <si>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</si>
  <si>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</si>
  <si>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</si>
  <si>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</si>
  <si>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</si>
  <si>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</si>
  <si>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</si>
  <si>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</si>
  <si>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</si>
  <si>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</si>
  <si>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</si>
  <si>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</si>
  <si>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</si>
  <si>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</si>
  <si>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</si>
  <si>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</si>
  <si>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</si>
  <si>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</si>
  <si>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</si>
  <si>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</si>
  <si>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</si>
  <si>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</si>
  <si>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</si>
  <si>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</si>
  <si>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</si>
  <si>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</si>
  <si>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</si>
  <si>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</si>
  <si>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</si>
  <si>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</si>
  <si>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</si>
  <si>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</si>
  <si>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</si>
  <si>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</si>
  <si>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</si>
  <si>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</si>
  <si>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</si>
  <si>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</si>
  <si>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</si>
  <si>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</si>
  <si>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</si>
  <si>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</si>
  <si>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</si>
  <si>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</si>
  <si>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</si>
  <si>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</si>
  <si>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</si>
  <si>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</si>
  <si>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</si>
  <si>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</si>
  <si>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</si>
  <si>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</si>
  <si>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</si>
  <si>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</si>
  <si>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</si>
  <si>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</si>
  <si>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</si>
  <si>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</si>
  <si>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</si>
  <si>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</si>
  <si>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</si>
  <si>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</si>
  <si>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</si>
  <si>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</si>
  <si>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</si>
  <si>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</si>
  <si>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</si>
  <si>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</si>
  <si>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</si>
  <si>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</si>
  <si>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</si>
  <si>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</si>
  <si>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</si>
  <si>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</si>
  <si>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</si>
  <si>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</si>
  <si>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</si>
  <si>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</si>
  <si>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</si>
  <si>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</si>
  <si>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</si>
  <si>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</si>
  <si>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</si>
  <si>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</si>
  <si>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</si>
  <si>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</si>
  <si>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</si>
  <si>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</si>
  <si>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</si>
  <si>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</si>
  <si>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</si>
  <si>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</si>
  <si>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</si>
  <si>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</si>
  <si>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</si>
  <si>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</si>
  <si>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</si>
  <si>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</si>
  <si>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</si>
  <si>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</si>
  <si>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</si>
  <si>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</si>
  <si>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</si>
  <si>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</si>
  <si>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</si>
  <si>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</si>
  <si>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</si>
  <si>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</si>
  <si>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</si>
  <si>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</si>
  <si>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</si>
  <si>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</si>
  <si>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</si>
  <si>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</si>
  <si>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</si>
  <si>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</si>
  <si>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</si>
  <si>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</si>
  <si>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</si>
  <si>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</si>
  <si>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</si>
  <si>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</si>
  <si>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</si>
  <si>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</si>
  <si>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</si>
  <si>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</si>
  <si>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</si>
  <si>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</si>
  <si>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</si>
  <si>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</si>
  <si>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</si>
  <si>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</si>
  <si>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</si>
  <si>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</si>
  <si>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</si>
  <si>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</si>
  <si>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</si>
  <si>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</si>
  <si>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</si>
  <si>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</si>
  <si>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</si>
  <si>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</si>
  <si>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</si>
  <si>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</si>
  <si>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</si>
  <si>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</si>
  <si>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</si>
  <si>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</si>
  <si>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</si>
  <si>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</si>
  <si>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</si>
  <si>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</si>
  <si>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</si>
  <si>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</si>
  <si>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</si>
  <si>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</si>
  <si>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</si>
  <si>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</si>
  <si>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</si>
  <si>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</si>
  <si>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</si>
  <si>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</si>
  <si>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</si>
  <si>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</si>
  <si>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</si>
  <si>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</si>
  <si>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</si>
  <si>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</si>
  <si>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</si>
  <si>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</si>
  <si>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</si>
  <si>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</si>
  <si>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</si>
  <si>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</si>
  <si>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</si>
  <si>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</si>
  <si>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</si>
  <si>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</si>
  <si>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</si>
  <si>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</si>
  <si>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</si>
  <si>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</si>
  <si>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</si>
  <si>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</si>
  <si>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</si>
  <si>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</si>
  <si>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</si>
  <si>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</si>
  <si>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</si>
  <si>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</si>
  <si>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</si>
  <si>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</si>
  <si>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</si>
  <si>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</si>
  <si>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</si>
  <si>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</si>
  <si>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</si>
  <si>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</si>
  <si>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</si>
  <si>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</si>
  <si>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</si>
  <si>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</si>
  <si>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</si>
  <si>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</si>
  <si>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</si>
  <si>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</si>
  <si>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</si>
  <si>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</si>
  <si>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</si>
  <si>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</si>
  <si>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</si>
  <si>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</si>
  <si>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</si>
  <si>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</si>
  <si>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</si>
  <si>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</si>
  <si>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</si>
  <si>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</si>
  <si>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</si>
  <si>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</si>
  <si>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</si>
  <si>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</si>
  <si>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</si>
  <si>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</si>
  <si>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</si>
  <si>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</si>
  <si>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</si>
  <si>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</si>
  <si>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</si>
  <si>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</si>
  <si>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</si>
  <si>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</si>
  <si>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</si>
  <si>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</si>
  <si>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</si>
  <si>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</si>
  <si>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</si>
  <si>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</si>
  <si>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</si>
  <si>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</si>
  <si>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</si>
  <si>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</si>
  <si>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</si>
  <si>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</si>
  <si>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</si>
  <si>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</si>
  <si>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</si>
  <si>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</si>
  <si>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</si>
  <si>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</si>
  <si>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</si>
  <si>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</si>
  <si>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</si>
  <si>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</si>
  <si>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</si>
  <si>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</si>
  <si>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</si>
  <si>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</si>
  <si>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</si>
  <si>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</si>
  <si>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</si>
  <si>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</si>
  <si>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</si>
  <si>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</si>
  <si>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</si>
  <si>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</si>
  <si>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</si>
  <si>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</si>
  <si>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</si>
  <si>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</si>
  <si>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</si>
  <si>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</si>
  <si>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</si>
  <si>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</si>
  <si>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</si>
  <si>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</si>
  <si>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</si>
  <si>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</si>
  <si>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</si>
  <si>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</si>
  <si>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</si>
  <si>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</si>
  <si>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</si>
  <si>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</si>
  <si>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</si>
  <si>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</si>
  <si>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</si>
  <si>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</si>
  <si>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</si>
  <si>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</si>
  <si>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</si>
  <si>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</si>
  <si>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</si>
  <si>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</si>
  <si>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</si>
  <si>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</si>
  <si>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</si>
  <si>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</si>
  <si>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</si>
  <si>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</si>
  <si>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</si>
  <si>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</si>
  <si>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</si>
  <si>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</si>
  <si>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</si>
  <si>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</si>
  <si>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</si>
  <si>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</si>
  <si>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</si>
  <si>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</si>
  <si>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</si>
  <si>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</si>
  <si>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</si>
  <si>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</si>
  <si>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</si>
  <si>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</si>
  <si>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</si>
  <si>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</si>
  <si>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</si>
  <si>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</si>
  <si>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</si>
  <si>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</si>
  <si>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</si>
  <si>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</si>
  <si>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</si>
  <si>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</si>
  <si>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</si>
  <si>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</si>
  <si>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</si>
  <si>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</si>
  <si>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</si>
  <si>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</si>
  <si>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</si>
  <si>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</si>
  <si>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</si>
  <si>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</si>
  <si>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</si>
  <si>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</si>
  <si>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</si>
  <si>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</si>
  <si>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</si>
  <si>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</si>
  <si>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</si>
  <si>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</si>
  <si>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</si>
  <si>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</si>
  <si>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</si>
  <si>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</si>
  <si>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</si>
  <si>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</si>
  <si>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</si>
  <si>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</si>
  <si>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</si>
  <si>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</si>
  <si>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</si>
  <si>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</si>
  <si>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</si>
  <si>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</si>
  <si>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</si>
  <si>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</si>
  <si>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</si>
  <si>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</si>
  <si>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</si>
  <si>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</si>
  <si>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</si>
  <si>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</si>
  <si>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</si>
  <si>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</si>
  <si>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</si>
  <si>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</si>
  <si>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</si>
  <si>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</si>
  <si>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</si>
  <si>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</si>
  <si>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</si>
  <si>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</si>
  <si>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</si>
  <si>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</si>
  <si>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</si>
  <si>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</si>
  <si>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</si>
  <si>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</si>
  <si>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</si>
  <si>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</si>
  <si>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</si>
  <si>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</si>
  <si>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</si>
  <si>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</si>
  <si>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</si>
  <si>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</si>
  <si>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</si>
  <si>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</si>
  <si>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</si>
  <si>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</si>
  <si>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</si>
  <si>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</si>
  <si>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</si>
  <si>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</si>
  <si>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</si>
  <si>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</si>
  <si>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</si>
  <si>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</si>
  <si>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</si>
  <si>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</si>
  <si>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</si>
  <si>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</si>
  <si>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</si>
  <si>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</si>
  <si>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</si>
  <si>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</si>
  <si>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</si>
  <si>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</si>
  <si>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</si>
  <si>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</si>
  <si>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</si>
  <si>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</si>
  <si>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</si>
  <si>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</si>
  <si>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</si>
  <si>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</si>
  <si>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</si>
  <si>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</si>
  <si>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</si>
  <si>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</si>
  <si>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</si>
  <si>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</si>
  <si>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</si>
  <si>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</si>
  <si>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</si>
  <si>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</si>
  <si>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</si>
  <si>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</si>
  <si>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</si>
  <si>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</si>
  <si>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</si>
  <si>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</si>
  <si>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</si>
  <si>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</si>
  <si>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</si>
  <si>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</si>
  <si>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</si>
  <si>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</si>
  <si>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</si>
  <si>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</si>
  <si>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</si>
  <si>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</si>
  <si>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</si>
  <si>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</si>
  <si>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</si>
  <si>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</si>
  <si>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</si>
  <si>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</si>
  <si>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</si>
  <si>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</si>
  <si>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</si>
  <si>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</si>
  <si>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</si>
  <si>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</si>
  <si>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</si>
  <si>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</si>
  <si>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</si>
  <si>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</si>
  <si>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</si>
  <si>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</si>
  <si>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</si>
  <si>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</si>
  <si>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</si>
  <si>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</si>
  <si>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</si>
  <si>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</si>
  <si>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</si>
  <si>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</si>
  <si>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</si>
  <si>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</si>
  <si>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</si>
  <si>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</si>
  <si>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</si>
  <si>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</si>
  <si>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</si>
  <si>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</si>
  <si>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</si>
  <si>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</si>
  <si>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</si>
  <si>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</si>
  <si>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</si>
  <si>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</si>
  <si>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</si>
  <si>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</si>
  <si>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</si>
  <si>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</si>
  <si>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</si>
  <si>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</si>
  <si>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</si>
  <si>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</si>
  <si>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</si>
  <si>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</si>
  <si>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</si>
  <si>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</si>
  <si>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</si>
  <si>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</si>
  <si>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</si>
  <si>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</si>
  <si>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</si>
  <si>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</si>
  <si>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</si>
  <si>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</si>
  <si>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</si>
  <si>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</si>
  <si>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</si>
  <si>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</si>
  <si>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</si>
  <si>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</si>
  <si>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</si>
  <si>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</si>
  <si>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</si>
  <si>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</si>
  <si>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</si>
  <si>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</si>
  <si>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</si>
  <si>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</si>
  <si>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</si>
  <si>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</si>
  <si>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</si>
  <si>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</si>
  <si>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</si>
  <si>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</si>
  <si>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</si>
  <si>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</si>
  <si>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</si>
  <si>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</si>
  <si>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</si>
  <si>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</si>
  <si>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</si>
  <si>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</si>
  <si>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</si>
  <si>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</si>
  <si>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</si>
  <si>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</si>
  <si>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</si>
  <si>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</si>
  <si>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</si>
  <si>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</si>
  <si>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</si>
  <si>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</si>
  <si>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</si>
  <si>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</si>
  <si>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</si>
  <si>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</si>
  <si>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</si>
  <si>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</si>
  <si>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</si>
  <si>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</si>
  <si>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</si>
  <si>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</si>
  <si>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</si>
  <si>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</si>
  <si>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</si>
  <si>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</si>
  <si>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</si>
  <si>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</si>
  <si>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</si>
  <si>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</si>
  <si>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</si>
  <si>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</si>
  <si>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</si>
  <si>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</si>
  <si>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</si>
  <si>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</si>
  <si>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</si>
  <si>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</si>
  <si>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</si>
  <si>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</si>
  <si>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</si>
  <si>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</si>
  <si>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</si>
  <si>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</si>
  <si>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</si>
  <si>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</si>
  <si>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</si>
  <si>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</si>
  <si>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</si>
  <si>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</si>
  <si>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</si>
  <si>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</si>
  <si>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</si>
  <si>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</si>
  <si>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</si>
  <si>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</si>
  <si>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</si>
  <si>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</si>
  <si>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</si>
  <si>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</si>
  <si>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</si>
  <si>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</si>
  <si>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</si>
  <si>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</si>
  <si>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</si>
  <si>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</si>
  <si>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</si>
  <si>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</si>
  <si>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</si>
  <si>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</si>
  <si>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</si>
  <si>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</si>
  <si>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</si>
  <si>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</si>
  <si>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</si>
  <si>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</si>
  <si>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</si>
  <si>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</si>
  <si>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</si>
  <si>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</si>
  <si>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</si>
  <si>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</si>
  <si>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</si>
  <si>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</si>
  <si>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</si>
  <si>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</si>
  <si>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</si>
  <si>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</si>
  <si>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</si>
  <si>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</si>
  <si>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</si>
  <si>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</si>
  <si>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</si>
  <si>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</si>
  <si>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</si>
  <si>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</si>
  <si>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</si>
  <si>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</si>
  <si>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</si>
  <si>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</si>
  <si>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</si>
  <si>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</si>
  <si>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</si>
  <si>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</si>
  <si>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</si>
  <si>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</si>
  <si>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</si>
  <si>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</si>
  <si>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</si>
  <si>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</si>
  <si>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</si>
  <si>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</si>
  <si>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</si>
  <si>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</si>
  <si>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</si>
  <si>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</si>
  <si>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</si>
  <si>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</si>
  <si>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</si>
  <si>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</si>
  <si>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</si>
  <si>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</si>
  <si>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</si>
  <si>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</si>
  <si>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</si>
  <si>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</si>
  <si>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</si>
  <si>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</si>
  <si>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</si>
  <si>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</si>
  <si>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</si>
  <si>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</si>
  <si>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</si>
  <si>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</si>
  <si>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</si>
  <si>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</si>
  <si>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</si>
  <si>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</si>
  <si>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</si>
  <si>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</si>
  <si>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</si>
  <si>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</si>
  <si>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</si>
  <si>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</si>
  <si>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</si>
  <si>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</si>
  <si>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</si>
  <si>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</si>
  <si>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</si>
  <si>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</si>
  <si>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</si>
  <si>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</si>
  <si>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</si>
  <si>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</si>
  <si>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</si>
  <si>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</si>
  <si>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</si>
  <si>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</si>
  <si>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</si>
  <si>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</si>
  <si>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</si>
  <si>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</si>
  <si>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</si>
  <si>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</si>
  <si>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</si>
  <si>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</si>
  <si>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</si>
  <si>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</si>
  <si>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</si>
  <si>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</si>
  <si>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</si>
  <si>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</si>
  <si>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</si>
  <si>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</si>
  <si>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</si>
  <si>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</si>
  <si>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</si>
  <si>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</si>
  <si>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</si>
  <si>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</si>
  <si>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</si>
  <si>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</si>
  <si>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</si>
  <si>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</si>
  <si>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</si>
  <si>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</si>
  <si>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</si>
  <si>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</si>
  <si>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</si>
  <si>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</si>
  <si>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</si>
  <si>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</si>
  <si>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</si>
  <si>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</si>
  <si>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</si>
  <si>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</si>
  <si>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</si>
  <si>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</si>
  <si>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</si>
  <si>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</si>
  <si>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</si>
  <si>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</si>
  <si>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</si>
  <si>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</si>
  <si>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</si>
  <si>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</si>
  <si>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</si>
  <si>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</si>
  <si>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</si>
  <si>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</si>
  <si>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</si>
  <si>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</si>
  <si>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</si>
  <si>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</si>
  <si>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</si>
  <si>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</si>
  <si>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</si>
  <si>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</si>
  <si>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</si>
  <si>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</si>
  <si>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</si>
  <si>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</si>
  <si>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</si>
  <si>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</si>
  <si>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</si>
  <si>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</si>
  <si>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</si>
  <si>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</si>
  <si>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</si>
  <si>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</si>
  <si>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</si>
  <si>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</si>
  <si>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</si>
  <si>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</si>
  <si>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</si>
  <si>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</si>
  <si>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</si>
  <si>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</si>
  <si>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</si>
  <si>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</si>
  <si>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</si>
  <si>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</si>
  <si>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</si>
  <si>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</si>
  <si>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</si>
  <si>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</si>
  <si>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</si>
  <si>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V. BOUCHAREYCHAS -  M. JEZEQUEL</t>
  </si>
  <si>
    <t xml:space="preserve">CRUZINI</t>
  </si>
  <si>
    <t xml:space="preserve">Azzana</t>
  </si>
  <si>
    <t xml:space="preserve">06215850</t>
  </si>
  <si>
    <t xml:space="preserve">7178d - RCS Corse 2015</t>
  </si>
  <si>
    <t xml:space="preserve">pl. courant</t>
  </si>
  <si>
    <t xml:space="preserve">pl. lent</t>
  </si>
  <si>
    <t xml:space="preserve">faible</t>
  </si>
  <si>
    <t xml:space="preserve">peu abondant</t>
  </si>
  <si>
    <t xml:space="preserve">Cf.</t>
  </si>
  <si>
    <t xml:space="preserve">NEWCOD</t>
  </si>
  <si>
    <t xml:space="preserve">Coleodesmium wrangelii</t>
  </si>
  <si>
    <t xml:space="preserve">Coleochaete sp.</t>
  </si>
  <si>
    <t xml:space="preserve">Klebsormidium sp.</t>
  </si>
  <si>
    <t xml:space="preserve">Référence des noms taxons</t>
  </si>
  <si>
    <t xml:space="preserve">Luri à Luri</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</si>
  <si>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</si>
  <si>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</si>
  <si>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</si>
  <si>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</si>
  <si>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</si>
  <si>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</si>
  <si>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type de faciès courant</t>
  </si>
  <si>
    <t xml:space="preserve">type de faciès lent</t>
  </si>
  <si>
    <t xml:space="preserve">ch. lotique</t>
  </si>
  <si>
    <t xml:space="preserve">radier</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</si>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</sst>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C13" activeCellId="0" sqref="AC1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42182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12.9</v>
      </c>
      <c r="N5" s="352"/>
      <c r="O5" s="353" t="s">
        <v>396</v>
      </c>
      <c r="P5" s="354" t="n">
        <v>12.8571428571429</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90</v>
      </c>
      <c r="C7" s="370" t="n">
        <v>10</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12.7777777777778</v>
      </c>
      <c r="P8" s="384" t="n">
        <f aca="false">IF(ISERROR(AVERAGE(K23:K82)),"  ",AVERAGE(K23:K82))</f>
        <v>1.88888888888889</v>
      </c>
      <c r="Q8" s="385"/>
      <c r="R8" s="309"/>
      <c r="S8" s="309"/>
      <c r="T8" s="309"/>
      <c r="U8" s="309"/>
      <c r="V8" s="309"/>
      <c r="W8" s="323"/>
    </row>
    <row r="9" customFormat="false" ht="12.75" hidden="false" customHeight="false" outlineLevel="0" collapsed="false">
      <c r="A9" s="342" t="s">
        <v>3394</v>
      </c>
      <c r="B9" s="386" t="n">
        <v>0.35</v>
      </c>
      <c r="C9" s="387" t="n">
        <v>1.2</v>
      </c>
      <c r="D9" s="388"/>
      <c r="E9" s="388"/>
      <c r="F9" s="389" t="n">
        <f aca="false">($B9*$B$7+$C9*$C$7)/100</f>
        <v>0.435</v>
      </c>
      <c r="G9" s="390"/>
      <c r="H9" s="345"/>
      <c r="I9" s="309"/>
      <c r="J9" s="391"/>
      <c r="K9" s="392"/>
      <c r="L9" s="375"/>
      <c r="M9" s="393"/>
      <c r="N9" s="383" t="s">
        <v>3395</v>
      </c>
      <c r="O9" s="384" t="n">
        <f aca="false">IF(ISERROR(STDEVP(J23:J82))," ",STDEVP(J23:J82))</f>
        <v>2.7397395568751</v>
      </c>
      <c r="P9" s="384" t="n">
        <f aca="false">IF(ISERROR(STDEVP(K23:K82)),"  ",STDEVP(K23:K82))</f>
        <v>0.566557723732532</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16</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6</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4</v>
      </c>
      <c r="M13" s="409"/>
      <c r="N13" s="417" t="s">
        <v>3406</v>
      </c>
      <c r="O13" s="418" t="n">
        <f aca="false">COUNTIF(F23:F82,"&gt;0")</f>
        <v>16</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9</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6</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0.75</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0.36</v>
      </c>
      <c r="C20" s="461" t="n">
        <f aca="false">SUM(C23:C62)</f>
        <v>1.175</v>
      </c>
      <c r="D20" s="462"/>
      <c r="E20" s="463" t="s">
        <v>3419</v>
      </c>
      <c r="F20" s="464" t="n">
        <f aca="false">($B20*$B$7+$C20*$C$7)/100</f>
        <v>0.4415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0.324</v>
      </c>
      <c r="C21" s="472" t="n">
        <f aca="false">C20*C7/100</f>
        <v>0.1175</v>
      </c>
      <c r="D21" s="473" t="s">
        <v>3422</v>
      </c>
      <c r="E21" s="474"/>
      <c r="F21" s="475" t="n">
        <f aca="false">B21+C21</f>
        <v>0.4415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63</v>
      </c>
      <c r="B23" s="501" t="n">
        <v>0.01</v>
      </c>
      <c r="C23" s="502" t="n">
        <v>0.15</v>
      </c>
      <c r="D23" s="503" t="str">
        <f aca="false">IF(ISERROR(VLOOKUP($A23,'liste reference'!$A$6:$B$1174,2,0)),IF(ISERROR(VLOOKUP($A23,'liste reference'!$B$6:$B$1174,1,0)),"",VLOOKUP($A23,'liste reference'!$B$6:$B$1174,1,0)),VLOOKUP($A23,'liste reference'!$A$6:$B$1174,2,0))</f>
        <v>Batrachospermum sp.</v>
      </c>
      <c r="E23" s="504" t="e">
        <f aca="false">IF(D23="",0,VLOOKUP(D23,D$22:D22,1,0))</f>
        <v>#N/A</v>
      </c>
      <c r="F23" s="505" t="n">
        <f aca="false">IF(AND(OR(A23="",A23="!!!!!!"),B23="",C23=""),"",IF(OR(AND(B23="",C23=""),ISERROR(C23+B23)),"!!!",($B23*$B$7+$C23*$C$7)/100))</f>
        <v>0.024</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16</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Batrachospermum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1155</v>
      </c>
      <c r="R23" s="513" t="n">
        <f aca="false">IF(ISTEXT(H23),"",(B23*$B$7/100)+(C23*$C$7/100))</f>
        <v>0.024</v>
      </c>
      <c r="S23" s="514" t="n">
        <f aca="false">IF(OR(ISTEXT(H23),R23=0),"",IF(R23&lt;0.1,1,IF(R23&lt;1,2,IF(R23&lt;10,3,IF(R23&lt;50,4,IF(R23&gt;=50,5,""))))))</f>
        <v>1</v>
      </c>
      <c r="T23" s="514" t="n">
        <f aca="false">IF(ISERROR(S23*J23),0,S23*J23)</f>
        <v>16</v>
      </c>
      <c r="U23" s="514" t="n">
        <f aca="false">IF(ISERROR(S23*J23*K23),0,S23*J23*K23)</f>
        <v>32</v>
      </c>
      <c r="V23" s="514" t="n">
        <f aca="false">IF(ISERROR(S23*K23),0,S23*K23)</f>
        <v>2</v>
      </c>
      <c r="W23" s="515"/>
      <c r="X23" s="516"/>
      <c r="Y23" s="517" t="str">
        <f aca="false">IF(AND(ISNUMBER(F23),OR(A23="",A23="!!!!!!")),"!!!!!!",IF(A23="new.cod","NEWCOD",IF(AND((Z23=""),ISTEXT(A23),A23&lt;&gt;"!!!!!!"),A23,IF(Z23="","",INDEX('liste reference'!$A$6:$A$1174,Z23)))))</f>
        <v>BATSPX</v>
      </c>
      <c r="Z23" s="499" t="n">
        <f aca="false">IF(ISERROR(MATCH(A23,'liste reference'!$A$6:$A$1174,0)),IF(ISERROR(MATCH(A23,'liste reference'!$B$6:$B$1174,0)),"",(MATCH(A23,'liste reference'!$B$6:$B$1174,0))),(MATCH(A23,'liste reference'!$A$6:$A$1174,0)))</f>
        <v>10</v>
      </c>
    </row>
    <row r="24" customFormat="false" ht="12.75" hidden="false" customHeight="false" outlineLevel="0" collapsed="false">
      <c r="A24" s="518" t="s">
        <v>215</v>
      </c>
      <c r="B24" s="519" t="n">
        <v>0.05</v>
      </c>
      <c r="C24" s="520"/>
      <c r="D24" s="521" t="str">
        <f aca="false">IF(ISERROR(VLOOKUP($A24,'liste reference'!$A$6:$B$1174,2,0)),IF(ISERROR(VLOOKUP($A24,'liste reference'!$B$6:$B$1174,1,0)),"",VLOOKUP($A24,'liste reference'!$B$6:$B$1174,1,0)),VLOOKUP($A24,'liste reference'!$A$6:$B$1174,2,0))</f>
        <v>Lemanea sp.</v>
      </c>
      <c r="E24" s="522" t="e">
        <f aca="false">IF(D24="",0,VLOOKUP(D24,D$22:D23,1,0))</f>
        <v>#N/A</v>
      </c>
      <c r="F24" s="523" t="n">
        <f aca="false">IF(AND(OR(A24="",A24="!!!!!!"),B24="",C24=""),"",IF(OR(AND(B24="",C24=""),ISERROR(C24+B24)),"!!!",($B24*$B$7+$C24*$C$7)/100))</f>
        <v>0.045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Lemanea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1159</v>
      </c>
      <c r="R24" s="513" t="n">
        <f aca="false">IF(ISTEXT(H24),"",(B24*$B$7/100)+(C24*$C$7/100))</f>
        <v>0.045</v>
      </c>
      <c r="S24" s="514" t="n">
        <f aca="false">IF(OR(ISTEXT(H24),R24=0),"",IF(R24&lt;0.1,1,IF(R24&lt;1,2,IF(R24&lt;10,3,IF(R24&lt;50,4,IF(R24&gt;=50,5,""))))))</f>
        <v>1</v>
      </c>
      <c r="T24" s="514" t="n">
        <f aca="false">IF(ISERROR(S24*J24),0,S24*J24)</f>
        <v>15</v>
      </c>
      <c r="U24" s="514" t="n">
        <f aca="false">IF(ISERROR(S24*J24*K24),0,S24*J24*K24)</f>
        <v>30</v>
      </c>
      <c r="V24" s="530" t="n">
        <f aca="false">IF(ISERROR(S24*K24),0,S24*K24)</f>
        <v>2</v>
      </c>
      <c r="W24" s="531"/>
      <c r="X24" s="532"/>
      <c r="Y24" s="517" t="str">
        <f aca="false">IF(AND(ISNUMBER(F24),OR(A24="",A24="!!!!!!")),"!!!!!!",IF(A24="new.cod","NEWCOD",IF(AND((Z24=""),ISTEXT(A24),A24&lt;&gt;"!!!!!!"),A24,IF(Z24="","",INDEX('liste reference'!$A$6:$A$1174,Z24)))))</f>
        <v>LEASPX</v>
      </c>
      <c r="Z24" s="499" t="n">
        <f aca="false">IF(ISERROR(MATCH(A24,'liste reference'!$A$6:$A$1174,0)),IF(ISERROR(MATCH(A24,'liste reference'!$B$6:$B$1174,0)),"",(MATCH(A24,'liste reference'!$B$6:$B$1174,0))),(MATCH(A24,'liste reference'!$A$6:$A$1174,0)))</f>
        <v>59</v>
      </c>
    </row>
    <row r="25" customFormat="false" ht="12.75" hidden="false" customHeight="false" outlineLevel="0" collapsed="false">
      <c r="A25" s="518" t="s">
        <v>298</v>
      </c>
      <c r="B25" s="519"/>
      <c r="C25" s="520" t="n">
        <v>0.005</v>
      </c>
      <c r="D25" s="521" t="str">
        <f aca="false">IF(ISERROR(VLOOKUP($A25,'liste reference'!$A$6:$B$1174,2,0)),IF(ISERROR(VLOOKUP($A25,'liste reference'!$B$6:$B$1174,1,0)),"",VLOOKUP($A25,'liste reference'!$B$6:$B$1174,1,0)),VLOOKUP($A25,'liste reference'!$A$6:$B$1174,2,0))</f>
        <v>Oedogonium sp.</v>
      </c>
      <c r="E25" s="522" t="e">
        <f aca="false">IF(D25="",0,VLOOKUP(D25,D$22:D24,1,0))</f>
        <v>#N/A</v>
      </c>
      <c r="F25" s="523" t="n">
        <f aca="false">IF(AND(OR(A25="",A25="!!!!!!"),B25="",C25=""),"",IF(OR(AND(B25="",C25=""),ISERROR(C25+B25)),"!!!",($B25*$B$7+$C25*$C$7)/100))</f>
        <v>0.0005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Oedogonium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1134</v>
      </c>
      <c r="R25" s="513" t="n">
        <f aca="false">IF(ISTEXT(H25),"",(B25*$B$7/100)+(C25*$C$7/100))</f>
        <v>0.0005</v>
      </c>
      <c r="S25" s="514" t="n">
        <f aca="false">IF(OR(ISTEXT(H25),R25=0),"",IF(R25&lt;0.1,1,IF(R25&lt;1,2,IF(R25&lt;10,3,IF(R25&lt;50,4,IF(R25&gt;=50,5,""))))))</f>
        <v>1</v>
      </c>
      <c r="T25" s="514" t="n">
        <f aca="false">IF(ISERROR(S25*J25),0,S25*J25)</f>
        <v>6</v>
      </c>
      <c r="U25" s="514" t="n">
        <f aca="false">IF(ISERROR(S25*J25*K25),0,S25*J25*K25)</f>
        <v>12</v>
      </c>
      <c r="V25" s="530" t="n">
        <f aca="false">IF(ISERROR(S25*K25),0,S25*K25)</f>
        <v>2</v>
      </c>
      <c r="W25" s="531"/>
      <c r="X25" s="532"/>
      <c r="Y25" s="517" t="str">
        <f aca="false">IF(AND(ISNUMBER(F25),OR(A25="",A25="!!!!!!")),"!!!!!!",IF(A25="new.cod","NEWCOD",IF(AND((Z25=""),ISTEXT(A25),A25&lt;&gt;"!!!!!!"),A25,IF(Z25="","",INDEX('liste reference'!$A$6:$A$1174,Z25)))))</f>
        <v>OEDSPX</v>
      </c>
      <c r="Z25" s="499" t="n">
        <f aca="false">IF(ISERROR(MATCH(A25,'liste reference'!$A$6:$A$1174,0)),IF(ISERROR(MATCH(A25,'liste reference'!$B$6:$B$1174,0)),"",(MATCH(A25,'liste reference'!$B$6:$B$1174,0))),(MATCH(A25,'liste reference'!$A$6:$A$1174,0)))</f>
        <v>85</v>
      </c>
    </row>
    <row r="26" customFormat="false" ht="12.75" hidden="false" customHeight="false" outlineLevel="0" collapsed="false">
      <c r="A26" s="518" t="s">
        <v>307</v>
      </c>
      <c r="B26" s="519" t="n">
        <v>0.005</v>
      </c>
      <c r="C26" s="520"/>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0.0045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0.0045</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346</v>
      </c>
      <c r="B27" s="519"/>
      <c r="C27" s="520" t="n">
        <v>0.005</v>
      </c>
      <c r="D27" s="521" t="str">
        <f aca="false">IF(ISERROR(VLOOKUP($A27,'liste reference'!$A$6:$B$1174,2,0)),IF(ISERROR(VLOOKUP($A27,'liste reference'!$B$6:$B$1174,1,0)),"",VLOOKUP($A27,'liste reference'!$B$6:$B$1174,1,0)),VLOOKUP($A27,'liste reference'!$A$6:$B$1174,2,0))</f>
        <v>Stigeoclonium sp. (excep. S. tenue)</v>
      </c>
      <c r="E27" s="522" t="e">
        <f aca="false">IF(D27="",0,VLOOKUP(D27,D$22:D26,1,0))</f>
        <v>#N/A</v>
      </c>
      <c r="F27" s="523" t="n">
        <f aca="false">IF(AND(OR(A27="",A27="!!!!!!"),B27="",C27=""),"",IF(OR(AND(B27="",C27=""),ISERROR(C27+B27)),"!!!",($B27*$B$7+$C27*$C$7)/100))</f>
        <v>0.0005</v>
      </c>
      <c r="G27" s="524" t="str">
        <f aca="false">IF(A27="","",IF(ISERROR(VLOOKUP($A27,'liste reference'!$A$6:$Q$1174,9,0)),IF(ISERROR(VLOOKUP($A27,'liste reference'!$B$6:$Q$1174,8,0)),"    -",VLOOKUP($A27,'liste reference'!$B$6:$Q$1174,8,0)),VLOOKUP($A27,'liste reference'!$A$6:$Q$1174,9,0)))</f>
        <v>ALG</v>
      </c>
      <c r="H27" s="525" t="n">
        <f aca="false">IF(A27="","x",IF(ISERROR(VLOOKUP($A27,'liste reference'!$A$6:$Q$1174,10,0)),IF(ISERROR(VLOOKUP($A27,'liste reference'!$B$6:$Q$1174,9,0)),"x",VLOOKUP($A27,'liste reference'!$B$6:$Q$1174,9,0)),VLOOKUP($A27,'liste reference'!$A$6:$Q$1174,10,0)))</f>
        <v>2</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Stigeoclonium sp. (excep. S. tenue)</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1119</v>
      </c>
      <c r="R27" s="513" t="n">
        <f aca="false">IF(ISTEXT(H27),"",(B27*$B$7/100)+(C27*$C$7/100))</f>
        <v>0.0005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STISPX</v>
      </c>
      <c r="Z27" s="499" t="n">
        <f aca="false">IF(ISERROR(MATCH(A27,'liste reference'!$A$6:$A$1174,0)),IF(ISERROR(MATCH(A27,'liste reference'!$B$6:$B$1174,0)),"",(MATCH(A27,'liste reference'!$B$6:$B$1174,0))),(MATCH(A27,'liste reference'!$A$6:$A$1174,0)))</f>
        <v>104</v>
      </c>
    </row>
    <row r="28" customFormat="false" ht="12.75" hidden="false" customHeight="false" outlineLevel="0" collapsed="false">
      <c r="A28" s="518" t="s">
        <v>396</v>
      </c>
      <c r="B28" s="519" t="n">
        <v>0.25</v>
      </c>
      <c r="C28" s="520"/>
      <c r="D28" s="521" t="str">
        <f aca="false">IF(ISERROR(VLOOKUP($A28,'liste reference'!$A$6:$B$1174,2,0)),IF(ISERROR(VLOOKUP($A28,'liste reference'!$B$6:$B$1174,1,0)),"",VLOOKUP($A28,'liste reference'!$B$6:$B$1174,1,0)),VLOOKUP($A28,'liste reference'!$A$6:$B$1174,2,0))</f>
        <v>Zygnema sp.</v>
      </c>
      <c r="E28" s="522" t="e">
        <f aca="false">IF(D28="",0,VLOOKUP(D28,D$22:D27,1,0))</f>
        <v>#N/A</v>
      </c>
      <c r="F28" s="523" t="n">
        <f aca="false">IF(AND(OR(A28="",A28="!!!!!!"),B28="",C28=""),"",IF(OR(AND(B28="",C28=""),ISERROR(C28+B28)),"!!!",($B28*$B$7+$C28*$C$7)/100))</f>
        <v>0.225</v>
      </c>
      <c r="G28" s="524" t="str">
        <f aca="false">IF(A28="","",IF(ISERROR(VLOOKUP($A28,'liste reference'!$A$6:$Q$1174,9,0)),IF(ISERROR(VLOOKUP($A28,'liste reference'!$B$6:$Q$1174,8,0)),"    -",VLOOKUP($A28,'liste reference'!$B$6:$Q$1174,8,0)),VLOOKUP($A28,'liste reference'!$A$6:$Q$1174,9,0)))</f>
        <v>ALG</v>
      </c>
      <c r="H28" s="525" t="n">
        <f aca="false">IF(A28="","x",IF(ISERROR(VLOOKUP($A28,'liste reference'!$A$6:$Q$1174,10,0)),IF(ISERROR(VLOOKUP($A28,'liste reference'!$B$6:$Q$1174,9,0)),"x",VLOOKUP($A28,'liste reference'!$B$6:$Q$1174,9,0)),VLOOKUP($A28,'liste reference'!$A$6:$Q$1174,10,0)))</f>
        <v>2</v>
      </c>
      <c r="I28" s="309" t="n">
        <f aca="false">IF(A28="","",1)</f>
        <v>1</v>
      </c>
      <c r="J28" s="526" t="n">
        <f aca="false">IF(ISNUMBER($H28),IF(ISERROR(VLOOKUP($A28,'liste reference'!$A$6:$Q$1174,6,0)),IF(ISERROR(VLOOKUP($A28,'liste reference'!$B$6:$Q$1174,5,0)),"nu",VLOOKUP($A28,'liste reference'!$B$6:$Q$1174,5,0)),VLOOKUP($A28,'liste reference'!$A$6:$Q$1174,6,0)),"nu")</f>
        <v>13</v>
      </c>
      <c r="K28" s="526" t="n">
        <f aca="false">IF(ISNUMBER($H28),IF(ISERROR(VLOOKUP($A28,'liste reference'!$A$6:$Q$1174,7,0)),IF(ISERROR(VLOOKUP($A28,'liste reference'!$B$6:$Q$1174,6,0)),"nu",VLOOKUP($A28,'liste reference'!$B$6:$Q$1174,6,0)),VLOOKUP($A28,'liste reference'!$A$6:$Q$1174,7,0)),"nu")</f>
        <v>3</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Zygnema sp.</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1148</v>
      </c>
      <c r="R28" s="513" t="n">
        <f aca="false">IF(ISTEXT(H28),"",(B28*$B$7/100)+(C28*$C$7/100))</f>
        <v>0.225</v>
      </c>
      <c r="S28" s="514" t="n">
        <f aca="false">IF(OR(ISTEXT(H28),R28=0),"",IF(R28&lt;0.1,1,IF(R28&lt;1,2,IF(R28&lt;10,3,IF(R28&lt;50,4,IF(R28&gt;=50,5,""))))))</f>
        <v>2</v>
      </c>
      <c r="T28" s="514" t="n">
        <f aca="false">IF(ISERROR(S28*J28),0,S28*J28)</f>
        <v>26</v>
      </c>
      <c r="U28" s="514" t="n">
        <f aca="false">IF(ISERROR(S28*J28*K28),0,S28*J28*K28)</f>
        <v>78</v>
      </c>
      <c r="V28" s="530" t="n">
        <f aca="false">IF(ISERROR(S28*K28),0,S28*K28)</f>
        <v>6</v>
      </c>
      <c r="W28" s="531"/>
      <c r="X28" s="532"/>
      <c r="Y28" s="517" t="str">
        <f aca="false">IF(AND(ISNUMBER(F28),OR(A28="",A28="!!!!!!")),"!!!!!!",IF(A28="new.cod","NEWCOD",IF(AND((Z28=""),ISTEXT(A28),A28&lt;&gt;"!!!!!!"),A28,IF(Z28="","",INDEX('liste reference'!$A$6:$A$1174,Z28)))))</f>
        <v>ZYGSPX</v>
      </c>
      <c r="Z28" s="499" t="n">
        <f aca="false">IF(ISERROR(MATCH(A28,'liste reference'!$A$6:$A$1174,0)),IF(ISERROR(MATCH(A28,'liste reference'!$B$6:$B$1174,0)),"",(MATCH(A28,'liste reference'!$B$6:$B$1174,0))),(MATCH(A28,'liste reference'!$A$6:$A$1174,0)))</f>
        <v>119</v>
      </c>
    </row>
    <row r="29" customFormat="false" ht="12.75" hidden="false" customHeight="false" outlineLevel="0" collapsed="false">
      <c r="A29" s="518" t="s">
        <v>574</v>
      </c>
      <c r="B29" s="519" t="n">
        <v>0.005</v>
      </c>
      <c r="C29" s="520" t="n">
        <v>0.005</v>
      </c>
      <c r="D29" s="521" t="str">
        <f aca="false">IF(ISERROR(VLOOKUP($A29,'liste reference'!$A$6:$B$1174,2,0)),IF(ISERROR(VLOOKUP($A29,'liste reference'!$B$6:$B$1174,1,0)),"",VLOOKUP($A29,'liste reference'!$B$6:$B$1174,1,0)),VLOOKUP($A29,'liste reference'!$A$6:$B$1174,2,0))</f>
        <v>Riccardia chamedryfolia</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BRh</v>
      </c>
      <c r="H29" s="525" t="n">
        <f aca="false">IF(A29="","x",IF(ISERROR(VLOOKUP($A29,'liste reference'!$A$6:$Q$1174,10,0)),IF(ISERROR(VLOOKUP($A29,'liste reference'!$B$6:$Q$1174,9,0)),"x",VLOOKUP($A29,'liste reference'!$B$6:$Q$1174,9,0)),VLOOKUP($A29,'liste reference'!$A$6:$Q$1174,10,0)))</f>
        <v>4</v>
      </c>
      <c r="I29" s="309" t="n">
        <f aca="false">IF(A29="","",1)</f>
        <v>1</v>
      </c>
      <c r="J29" s="526" t="n">
        <f aca="false">IF(ISNUMBER($H29),IF(ISERROR(VLOOKUP($A29,'liste reference'!$A$6:$Q$1174,6,0)),IF(ISERROR(VLOOKUP($A29,'liste reference'!$B$6:$Q$1174,5,0)),"nu",VLOOKUP($A29,'liste reference'!$B$6:$Q$1174,5,0)),VLOOKUP($A29,'liste reference'!$A$6:$Q$1174,6,0)),"nu")</f>
        <v>15</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Riccardia chamedryfolia</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1173</v>
      </c>
      <c r="R29" s="513" t="n">
        <f aca="false">IF(ISTEXT(H29),"",(B29*$B$7/100)+(C29*$C$7/100))</f>
        <v>0.005</v>
      </c>
      <c r="S29" s="514" t="n">
        <f aca="false">IF(OR(ISTEXT(H29),R29=0),"",IF(R29&lt;0.1,1,IF(R29&lt;1,2,IF(R29&lt;10,3,IF(R29&lt;50,4,IF(R29&gt;=50,5,""))))))</f>
        <v>1</v>
      </c>
      <c r="T29" s="514" t="n">
        <f aca="false">IF(ISERROR(S29*J29),0,S29*J29)</f>
        <v>15</v>
      </c>
      <c r="U29" s="514" t="n">
        <f aca="false">IF(ISERROR(S29*J29*K29),0,S29*J29*K29)</f>
        <v>30</v>
      </c>
      <c r="V29" s="530" t="n">
        <f aca="false">IF(ISERROR(S29*K29),0,S29*K29)</f>
        <v>2</v>
      </c>
      <c r="W29" s="531"/>
      <c r="X29" s="532"/>
      <c r="Y29" s="517" t="str">
        <f aca="false">IF(AND(ISNUMBER(F29),OR(A29="",A29="!!!!!!")),"!!!!!!",IF(A29="new.cod","NEWCOD",IF(AND((Z29=""),ISTEXT(A29),A29&lt;&gt;"!!!!!!"),A29,IF(Z29="","",INDEX('liste reference'!$A$6:$A$1174,Z29)))))</f>
        <v>RICCHA</v>
      </c>
      <c r="Z29" s="499" t="n">
        <f aca="false">IF(ISERROR(MATCH(A29,'liste reference'!$A$6:$A$1174,0)),IF(ISERROR(MATCH(A29,'liste reference'!$B$6:$B$1174,0)),"",(MATCH(A29,'liste reference'!$B$6:$B$1174,0))),(MATCH(A29,'liste reference'!$A$6:$A$1174,0)))</f>
        <v>178</v>
      </c>
    </row>
    <row r="30" customFormat="false" ht="12.75" hidden="false" customHeight="false" outlineLevel="0" collapsed="false">
      <c r="A30" s="518" t="s">
        <v>666</v>
      </c>
      <c r="B30" s="519" t="n">
        <v>0.005</v>
      </c>
      <c r="C30" s="520"/>
      <c r="D30" s="521" t="str">
        <f aca="false">IF(ISERROR(VLOOKUP($A30,'liste reference'!$A$6:$B$1174,2,0)),IF(ISERROR(VLOOKUP($A30,'liste reference'!$B$6:$B$1174,1,0)),"",VLOOKUP($A30,'liste reference'!$B$6:$B$1174,1,0)),VLOOKUP($A30,'liste reference'!$A$6:$B$1174,2,0))</f>
        <v>Bryum pseudotriquetrum</v>
      </c>
      <c r="E30" s="522" t="e">
        <f aca="false">IF(D30="",0,VLOOKUP(D30,D$22:D29,1,0))</f>
        <v>#N/A</v>
      </c>
      <c r="F30" s="523" t="n">
        <f aca="false">IF(AND(OR(A30="",A30="!!!!!!"),B30="",C30=""),"",IF(OR(AND(B30="",C30=""),ISERROR(C30+B30)),"!!!",($B30*$B$7+$C30*$C$7)/100))</f>
        <v>0.0045</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str">
        <f aca="false">IF(ISNUMBER($H30),IF(ISERROR(VLOOKUP($A30,'liste reference'!$A$6:$Q$1174,6,0)),IF(ISERROR(VLOOKUP($A30,'liste reference'!$B$6:$Q$1174,5,0)),"nu",VLOOKUP($A30,'liste reference'!$B$6:$Q$1174,5,0)),VLOOKUP($A30,'liste reference'!$A$6:$Q$1174,6,0)),"nu")</f>
        <v>nc</v>
      </c>
      <c r="K30" s="526" t="str">
        <f aca="false">IF(ISNUMBER($H30),IF(ISERROR(VLOOKUP($A30,'liste reference'!$A$6:$Q$1174,7,0)),IF(ISERROR(VLOOKUP($A30,'liste reference'!$B$6:$Q$1174,6,0)),"nu",VLOOKUP($A30,'liste reference'!$B$6:$Q$1174,6,0)),VLOOKUP($A30,'liste reference'!$A$6:$Q$1174,7,0)),"nu")</f>
        <v>nc</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Bryum pseudotriquetrum</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1274</v>
      </c>
      <c r="R30" s="513" t="n">
        <f aca="false">IF(ISTEXT(H30),"",(B30*$B$7/100)+(C30*$C$7/100))</f>
        <v>0.0045</v>
      </c>
      <c r="S30" s="514" t="n">
        <f aca="false">IF(OR(ISTEXT(H30),R30=0),"",IF(R30&lt;0.1,1,IF(R30&lt;1,2,IF(R30&lt;10,3,IF(R30&lt;50,4,IF(R30&gt;=50,5,""))))))</f>
        <v>1</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BRYPSE</v>
      </c>
      <c r="Z30" s="499" t="n">
        <f aca="false">IF(ISERROR(MATCH(A30,'liste reference'!$A$6:$A$1174,0)),IF(ISERROR(MATCH(A30,'liste reference'!$B$6:$B$1174,0)),"",(MATCH(A30,'liste reference'!$B$6:$B$1174,0))),(MATCH(A30,'liste reference'!$A$6:$A$1174,0)))</f>
        <v>211</v>
      </c>
    </row>
    <row r="31" customFormat="false" ht="12.75" hidden="false" customHeight="false" outlineLevel="0" collapsed="false">
      <c r="A31" s="518" t="s">
        <v>1002</v>
      </c>
      <c r="B31" s="519" t="n">
        <v>0.005</v>
      </c>
      <c r="C31" s="520"/>
      <c r="D31" s="521" t="str">
        <f aca="false">IF(ISERROR(VLOOKUP($A31,'liste reference'!$A$6:$B$1174,2,0)),IF(ISERROR(VLOOKUP($A31,'liste reference'!$B$6:$B$1174,1,0)),"",VLOOKUP($A31,'liste reference'!$B$6:$B$1174,1,0)),VLOOKUP($A31,'liste reference'!$A$6:$B$1174,2,0))</f>
        <v>Oxyrrhynchium speciosum </v>
      </c>
      <c r="E31" s="522" t="e">
        <f aca="false">IF(D31="",0,VLOOKUP(D31,D$22:D30,1,0))</f>
        <v>#N/A</v>
      </c>
      <c r="F31" s="523" t="n">
        <f aca="false">IF(AND(OR(A31="",A31="!!!!!!"),B31="",C31=""),"",IF(OR(AND(B31="",C31=""),ISERROR(C31+B31)),"!!!",($B31*$B$7+$C31*$C$7)/100))</f>
        <v>0.0045</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str">
        <f aca="false">IF(ISNUMBER($H31),IF(ISERROR(VLOOKUP($A31,'liste reference'!$A$6:$Q$1174,6,0)),IF(ISERROR(VLOOKUP($A31,'liste reference'!$B$6:$Q$1174,5,0)),"nu",VLOOKUP($A31,'liste reference'!$B$6:$Q$1174,5,0)),VLOOKUP($A31,'liste reference'!$A$6:$Q$1174,6,0)),"nu")</f>
        <v>nc</v>
      </c>
      <c r="K31" s="526" t="str">
        <f aca="false">IF(ISNUMBER($H31),IF(ISERROR(VLOOKUP($A31,'liste reference'!$A$6:$Q$1174,7,0)),IF(ISERROR(VLOOKUP($A31,'liste reference'!$B$6:$Q$1174,6,0)),"nu",VLOOKUP($A31,'liste reference'!$B$6:$Q$1174,6,0)),VLOOKUP($A31,'liste reference'!$A$6:$Q$1174,7,0)),"nu")</f>
        <v>nc</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Oxyrrhynchium speciosum </v>
      </c>
      <c r="M31" s="527"/>
      <c r="N31" s="527"/>
      <c r="O31" s="527"/>
      <c r="P31" s="528" t="s">
        <v>3462</v>
      </c>
      <c r="Q31" s="529" t="n">
        <f aca="false">IF(OR($A31="NEWCOD",$A31="!!!!!!"),IF(X31="","NoCod",X31),IF($A31="","",IF(ISERROR(VLOOKUP($A31,'liste reference'!$A$6:$H$1174,8,FALSE())),IF(ISERROR(VLOOKUP($A31,'liste reference'!$B$6:$H$1174,7,FALSE())),"",VLOOKUP($A31,'liste reference'!$B$6:$H$1174,7,FALSE())),VLOOKUP($A31,'liste reference'!$A$6:$H$1174,8,FALSE()))))</f>
        <v>30099</v>
      </c>
      <c r="R31" s="513" t="n">
        <f aca="false">IF(ISTEXT(H31),"",(B31*$B$7/100)+(C31*$C$7/100))</f>
        <v>0.0045</v>
      </c>
      <c r="S31" s="514" t="n">
        <f aca="false">IF(OR(ISTEXT(H31),R31=0),"",IF(R31&lt;0.1,1,IF(R31&lt;1,2,IF(R31&lt;10,3,IF(R31&lt;50,4,IF(R31&gt;=50,5,""))))))</f>
        <v>1</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OXYSPE</v>
      </c>
      <c r="Z31" s="499" t="n">
        <f aca="false">IF(ISERROR(MATCH(A31,'liste reference'!$A$6:$A$1174,0)),IF(ISERROR(MATCH(A31,'liste reference'!$B$6:$B$1174,0)),"",(MATCH(A31,'liste reference'!$B$6:$B$1174,0))),(MATCH(A31,'liste reference'!$A$6:$A$1174,0)))</f>
        <v>308</v>
      </c>
    </row>
    <row r="32" customFormat="false" ht="12.75" hidden="false" customHeight="false" outlineLevel="0" collapsed="false">
      <c r="A32" s="518" t="s">
        <v>1120</v>
      </c>
      <c r="B32" s="519" t="n">
        <v>0.005</v>
      </c>
      <c r="C32" s="520"/>
      <c r="D32" s="521" t="str">
        <f aca="false">IF(ISERROR(VLOOKUP($A32,'liste reference'!$A$6:$B$1174,2,0)),IF(ISERROR(VLOOKUP($A32,'liste reference'!$B$6:$B$1174,1,0)),"",VLOOKUP($A32,'liste reference'!$B$6:$B$1174,1,0)),VLOOKUP($A32,'liste reference'!$A$6:$B$1174,2,0))</f>
        <v>Rhynchostegium riparioides</v>
      </c>
      <c r="E32" s="522" t="e">
        <f aca="false">IF(D32="",0,VLOOKUP(D32,D$22:D31,1,0))</f>
        <v>#N/A</v>
      </c>
      <c r="F32" s="523" t="n">
        <f aca="false">IF(AND(OR(A32="",A32="!!!!!!"),B32="",C32=""),"",IF(OR(AND(B32="",C32=""),ISERROR(C32+B32)),"!!!",($B32*$B$7+$C32*$C$7)/100))</f>
        <v>0.0045</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Rhynchostegium riparioides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31691</v>
      </c>
      <c r="R32" s="513" t="n">
        <f aca="false">IF(ISTEXT(H32),"",(B32*$B$7/100)+(C32*$C$7/100))</f>
        <v>0.0045</v>
      </c>
      <c r="S32" s="514" t="n">
        <f aca="false">IF(OR(ISTEXT(H32),R32=0),"",IF(R32&lt;0.1,1,IF(R32&lt;1,2,IF(R32&lt;10,3,IF(R32&lt;50,4,IF(R32&gt;=50,5,""))))))</f>
        <v>1</v>
      </c>
      <c r="T32" s="514" t="n">
        <f aca="false">IF(ISERROR(S32*J32),0,S32*J32)</f>
        <v>12</v>
      </c>
      <c r="U32" s="514" t="n">
        <f aca="false">IF(ISERROR(S32*J32*K32),0,S32*J32*K32)</f>
        <v>12</v>
      </c>
      <c r="V32" s="530" t="n">
        <f aca="false">IF(ISERROR(S32*K32),0,S32*K32)</f>
        <v>1</v>
      </c>
      <c r="W32" s="531"/>
      <c r="X32" s="532"/>
      <c r="Y32" s="517" t="str">
        <f aca="false">IF(AND(ISNUMBER(F32),OR(A32="",A32="!!!!!!")),"!!!!!!",IF(A32="new.cod","NEWCOD",IF(AND((Z32=""),ISTEXT(A32),A32&lt;&gt;"!!!!!!"),A32,IF(Z32="","",INDEX('liste reference'!$A$6:$A$1174,Z32)))))</f>
        <v>RHYRIP</v>
      </c>
      <c r="Z32" s="499" t="n">
        <f aca="false">IF(ISERROR(MATCH(A32,'liste reference'!$A$6:$A$1174,0)),IF(ISERROR(MATCH(A32,'liste reference'!$B$6:$B$1174,0)),"",(MATCH(A32,'liste reference'!$B$6:$B$1174,0))),(MATCH(A32,'liste reference'!$A$6:$A$1174,0)))</f>
        <v>345</v>
      </c>
    </row>
    <row r="33" customFormat="false" ht="12.75" hidden="false" customHeight="false" outlineLevel="0" collapsed="false">
      <c r="A33" s="518" t="s">
        <v>1311</v>
      </c>
      <c r="B33" s="519" t="n">
        <v>0.005</v>
      </c>
      <c r="C33" s="520" t="n">
        <v>0.005</v>
      </c>
      <c r="D33" s="521" t="str">
        <f aca="false">IF(ISERROR(VLOOKUP($A33,'liste reference'!$A$6:$B$1174,2,0)),IF(ISERROR(VLOOKUP($A33,'liste reference'!$B$6:$B$1174,1,0)),"",VLOOKUP($A33,'liste reference'!$B$6:$B$1174,1,0)),VLOOKUP($A33,'liste reference'!$A$6:$B$1174,2,0))</f>
        <v>Osmunda regalis</v>
      </c>
      <c r="E33" s="522" t="e">
        <f aca="false">IF(D33="",0,VLOOKUP(D33,D$22:D32,1,0))</f>
        <v>#N/A</v>
      </c>
      <c r="F33" s="523" t="n">
        <f aca="false">IF(AND(OR(A33="",A33="!!!!!!"),B33="",C33=""),"",IF(OR(AND(B33="",C33=""),ISERROR(C33+B33)),"!!!",($B33*$B$7+$C33*$C$7)/100))</f>
        <v>0.005</v>
      </c>
      <c r="G33" s="524" t="str">
        <f aca="false">IF(A33="","",IF(ISERROR(VLOOKUP($A33,'liste reference'!$A$6:$Q$1174,9,0)),IF(ISERROR(VLOOKUP($A33,'liste reference'!$B$6:$Q$1174,8,0)),"    -",VLOOKUP($A33,'liste reference'!$B$6:$Q$1174,8,0)),VLOOKUP($A33,'liste reference'!$A$6:$Q$1174,9,0)))</f>
        <v>PTE</v>
      </c>
      <c r="H33" s="525" t="n">
        <f aca="false">IF(A33="","x",IF(ISERROR(VLOOKUP($A33,'liste reference'!$A$6:$Q$1174,10,0)),IF(ISERROR(VLOOKUP($A33,'liste reference'!$B$6:$Q$1174,9,0)),"x",VLOOKUP($A33,'liste reference'!$B$6:$Q$1174,9,0)),VLOOKUP($A33,'liste reference'!$A$6:$Q$1174,10,0)))</f>
        <v>6</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Osmunda regalis</v>
      </c>
      <c r="M33" s="527"/>
      <c r="N33" s="527"/>
      <c r="O33" s="527"/>
      <c r="P33" s="528" t="s">
        <v>3442</v>
      </c>
      <c r="Q33" s="529" t="n">
        <f aca="false">IF(OR($A33="NEWCOD",$A33="!!!!!!"),IF(X33="","NoCod",X33),IF($A33="","",IF(ISERROR(VLOOKUP($A33,'liste reference'!$A$6:$H$1174,8,FALSE())),IF(ISERROR(VLOOKUP($A33,'liste reference'!$B$6:$H$1174,7,FALSE())),"",VLOOKUP($A33,'liste reference'!$B$6:$H$1174,7,FALSE())),VLOOKUP($A33,'liste reference'!$A$6:$H$1174,8,FALSE()))))</f>
        <v>1403</v>
      </c>
      <c r="R33" s="513" t="n">
        <f aca="false">IF(ISTEXT(H33),"",(B33*$B$7/100)+(C33*$C$7/100))</f>
        <v>0.005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OSMREG</v>
      </c>
      <c r="Z33" s="499" t="n">
        <f aca="false">IF(ISERROR(MATCH(A33,'liste reference'!$A$6:$A$1174,0)),IF(ISERROR(MATCH(A33,'liste reference'!$B$6:$B$1174,0)),"",(MATCH(A33,'liste reference'!$B$6:$B$1174,0))),(MATCH(A33,'liste reference'!$A$6:$A$1174,0)))</f>
        <v>407</v>
      </c>
    </row>
    <row r="34" customFormat="false" ht="12.75" hidden="false" customHeight="false" outlineLevel="0" collapsed="false">
      <c r="A34" s="518" t="s">
        <v>2134</v>
      </c>
      <c r="B34" s="519" t="n">
        <v>0.005</v>
      </c>
      <c r="C34" s="520"/>
      <c r="D34" s="521" t="str">
        <f aca="false">IF(ISERROR(VLOOKUP($A34,'liste reference'!$A$6:$B$1174,2,0)),IF(ISERROR(VLOOKUP($A34,'liste reference'!$B$6:$B$1174,1,0)),"",VLOOKUP($A34,'liste reference'!$B$6:$B$1174,1,0)),VLOOKUP($A34,'liste reference'!$A$6:$B$1174,2,0))</f>
        <v>Mentha aquatica</v>
      </c>
      <c r="E34" s="522" t="e">
        <f aca="false">IF(D34="",0,VLOOKUP(D34,D$22:D33,1,0))</f>
        <v>#N/A</v>
      </c>
      <c r="F34" s="523" t="n">
        <f aca="false">IF(AND(OR(A34="",A34="!!!!!!"),B34="",C34=""),"",IF(OR(AND(B34="",C34=""),ISERROR(C34+B34)),"!!!",($B34*$B$7+$C34*$C$7)/100))</f>
        <v>0.0045</v>
      </c>
      <c r="G34" s="524" t="str">
        <f aca="false">IF(A34="","",IF(ISERROR(VLOOKUP($A34,'liste reference'!$A$6:$Q$1174,9,0)),IF(ISERROR(VLOOKUP($A34,'liste reference'!$B$6:$Q$1174,8,0)),"    -",VLOOKUP($A34,'liste reference'!$B$6:$Q$1174,8,0)),VLOOKUP($A34,'liste reference'!$A$6:$Q$1174,9,0)))</f>
        <v>PHe</v>
      </c>
      <c r="H34" s="525" t="n">
        <f aca="false">IF(A34="","x",IF(ISERROR(VLOOKUP($A34,'liste reference'!$A$6:$Q$1174,10,0)),IF(ISERROR(VLOOKUP($A34,'liste reference'!$B$6:$Q$1174,9,0)),"x",VLOOKUP($A34,'liste reference'!$B$6:$Q$1174,9,0)),VLOOKUP($A34,'liste reference'!$A$6:$Q$1174,10,0)))</f>
        <v>8</v>
      </c>
      <c r="I34" s="309" t="n">
        <f aca="false">IF(A34="","",1)</f>
        <v>1</v>
      </c>
      <c r="J34" s="526" t="n">
        <f aca="false">IF(ISNUMBER($H34),IF(ISERROR(VLOOKUP($A34,'liste reference'!$A$6:$Q$1174,6,0)),IF(ISERROR(VLOOKUP($A34,'liste reference'!$B$6:$Q$1174,5,0)),"nu",VLOOKUP($A34,'liste reference'!$B$6:$Q$1174,5,0)),VLOOKUP($A34,'liste reference'!$A$6:$Q$1174,6,0)),"nu")</f>
        <v>12</v>
      </c>
      <c r="K34" s="526" t="n">
        <f aca="false">IF(ISNUMBER($H34),IF(ISERROR(VLOOKUP($A34,'liste reference'!$A$6:$Q$1174,7,0)),IF(ISERROR(VLOOKUP($A34,'liste reference'!$B$6:$Q$1174,6,0)),"nu",VLOOKUP($A34,'liste reference'!$B$6:$Q$1174,6,0)),VLOOKUP($A34,'liste reference'!$A$6:$Q$1174,7,0)),"nu")</f>
        <v>1</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Mentha aquatica</v>
      </c>
      <c r="M34" s="527"/>
      <c r="N34" s="527"/>
      <c r="O34" s="527"/>
      <c r="P34" s="528" t="s">
        <v>3442</v>
      </c>
      <c r="Q34" s="529" t="n">
        <f aca="false">IF(OR($A34="NEWCOD",$A34="!!!!!!"),IF(X34="","NoCod",X34),IF($A34="","",IF(ISERROR(VLOOKUP($A34,'liste reference'!$A$6:$H$1174,8,FALSE())),IF(ISERROR(VLOOKUP($A34,'liste reference'!$B$6:$H$1174,7,FALSE())),"",VLOOKUP($A34,'liste reference'!$B$6:$H$1174,7,FALSE())),VLOOKUP($A34,'liste reference'!$A$6:$H$1174,8,FALSE()))))</f>
        <v>1791</v>
      </c>
      <c r="R34" s="513" t="n">
        <f aca="false">IF(ISTEXT(H34),"",(B34*$B$7/100)+(C34*$C$7/100))</f>
        <v>0.0045</v>
      </c>
      <c r="S34" s="514" t="n">
        <f aca="false">IF(OR(ISTEXT(H34),R34=0),"",IF(R34&lt;0.1,1,IF(R34&lt;1,2,IF(R34&lt;10,3,IF(R34&lt;50,4,IF(R34&gt;=50,5,""))))))</f>
        <v>1</v>
      </c>
      <c r="T34" s="514" t="n">
        <f aca="false">IF(ISERROR(S34*J34),0,S34*J34)</f>
        <v>12</v>
      </c>
      <c r="U34" s="514" t="n">
        <f aca="false">IF(ISERROR(S34*J34*K34),0,S34*J34*K34)</f>
        <v>12</v>
      </c>
      <c r="V34" s="530" t="n">
        <f aca="false">IF(ISERROR(S34*K34),0,S34*K34)</f>
        <v>1</v>
      </c>
      <c r="W34" s="531"/>
      <c r="X34" s="532"/>
      <c r="Y34" s="517" t="str">
        <f aca="false">IF(AND(ISNUMBER(F34),OR(A34="",A34="!!!!!!")),"!!!!!!",IF(A34="new.cod","NEWCOD",IF(AND((Z34=""),ISTEXT(A34),A34&lt;&gt;"!!!!!!"),A34,IF(Z34="","",INDEX('liste reference'!$A$6:$A$1174,Z34)))))</f>
        <v>MENAQU</v>
      </c>
      <c r="Z34" s="499" t="n">
        <f aca="false">IF(ISERROR(MATCH(A34,'liste reference'!$A$6:$A$1174,0)),IF(ISERROR(MATCH(A34,'liste reference'!$B$6:$B$1174,0)),"",(MATCH(A34,'liste reference'!$B$6:$B$1174,0))),(MATCH(A34,'liste reference'!$A$6:$A$1174,0)))</f>
        <v>694</v>
      </c>
    </row>
    <row r="35" customFormat="false" ht="12.75" hidden="false" customHeight="false" outlineLevel="0" collapsed="false">
      <c r="A35" s="518" t="s">
        <v>2609</v>
      </c>
      <c r="B35" s="519" t="n">
        <v>0.005</v>
      </c>
      <c r="C35" s="520"/>
      <c r="D35" s="521" t="str">
        <f aca="false">IF(ISERROR(VLOOKUP($A35,'liste reference'!$A$6:$B$1174,2,0)),IF(ISERROR(VLOOKUP($A35,'liste reference'!$B$6:$B$1174,1,0)),"",VLOOKUP($A35,'liste reference'!$B$6:$B$1174,1,0)),VLOOKUP($A35,'liste reference'!$A$6:$B$1174,2,0))</f>
        <v>Juncus articulatus</v>
      </c>
      <c r="E35" s="522" t="e">
        <f aca="false">IF(D35="",0,VLOOKUP(D35,D$22:D34,1,0))</f>
        <v>#N/A</v>
      </c>
      <c r="F35" s="523" t="n">
        <f aca="false">IF(AND(OR(A35="",A35="!!!!!!"),B35="",C35=""),"",IF(OR(AND(B35="",C35=""),ISERROR(C35+B35)),"!!!",($B35*$B$7+$C35*$C$7)/100))</f>
        <v>0.0045</v>
      </c>
      <c r="G35" s="524" t="str">
        <f aca="false">IF(A35="","",IF(ISERROR(VLOOKUP($A35,'liste reference'!$A$6:$Q$1174,9,0)),IF(ISERROR(VLOOKUP($A35,'liste reference'!$B$6:$Q$1174,8,0)),"    -",VLOOKUP($A35,'liste reference'!$B$6:$Q$1174,8,0)),VLOOKUP($A35,'liste reference'!$A$6:$Q$1174,9,0)))</f>
        <v>PHg</v>
      </c>
      <c r="H35" s="525" t="n">
        <f aca="false">IF(A35="","x",IF(ISERROR(VLOOKUP($A35,'liste reference'!$A$6:$Q$1174,10,0)),IF(ISERROR(VLOOKUP($A35,'liste reference'!$B$6:$Q$1174,9,0)),"x",VLOOKUP($A35,'liste reference'!$B$6:$Q$1174,9,0)),VLOOKUP($A35,'liste reference'!$A$6:$Q$1174,10,0)))</f>
        <v>9</v>
      </c>
      <c r="I35" s="309" t="n">
        <f aca="false">IF(A35="","",1)</f>
        <v>1</v>
      </c>
      <c r="J35" s="526" t="str">
        <f aca="false">IF(ISNUMBER($H35),IF(ISERROR(VLOOKUP($A35,'liste reference'!$A$6:$Q$1174,6,0)),IF(ISERROR(VLOOKUP($A35,'liste reference'!$B$6:$Q$1174,5,0)),"nu",VLOOKUP($A35,'liste reference'!$B$6:$Q$1174,5,0)),VLOOKUP($A35,'liste reference'!$A$6:$Q$1174,6,0)),"nu")</f>
        <v>nc</v>
      </c>
      <c r="K35" s="526" t="str">
        <f aca="false">IF(ISNUMBER($H35),IF(ISERROR(VLOOKUP($A35,'liste reference'!$A$6:$Q$1174,7,0)),IF(ISERROR(VLOOKUP($A35,'liste reference'!$B$6:$Q$1174,6,0)),"nu",VLOOKUP($A35,'liste reference'!$B$6:$Q$1174,6,0)),VLOOKUP($A35,'liste reference'!$A$6:$Q$1174,7,0)),"nu")</f>
        <v>nc</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Juncus articulatus</v>
      </c>
      <c r="M35" s="527"/>
      <c r="N35" s="527"/>
      <c r="O35" s="527"/>
      <c r="P35" s="528" t="s">
        <v>3442</v>
      </c>
      <c r="Q35" s="529" t="n">
        <f aca="false">IF(OR($A35="NEWCOD",$A35="!!!!!!"),IF(X35="","NoCod",X35),IF($A35="","",IF(ISERROR(VLOOKUP($A35,'liste reference'!$A$6:$H$1174,8,FALSE())),IF(ISERROR(VLOOKUP($A35,'liste reference'!$B$6:$H$1174,7,FALSE())),"",VLOOKUP($A35,'liste reference'!$B$6:$H$1174,7,FALSE())),VLOOKUP($A35,'liste reference'!$A$6:$H$1174,8,FALSE()))))</f>
        <v>1609</v>
      </c>
      <c r="R35" s="513" t="n">
        <f aca="false">IF(ISTEXT(H35),"",(B35*$B$7/100)+(C35*$C$7/100))</f>
        <v>0.0045</v>
      </c>
      <c r="S35" s="514" t="n">
        <f aca="false">IF(OR(ISTEXT(H35),R35=0),"",IF(R35&lt;0.1,1,IF(R35&lt;1,2,IF(R35&lt;10,3,IF(R35&lt;50,4,IF(R35&gt;=50,5,""))))))</f>
        <v>1</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JUNART</v>
      </c>
      <c r="Z35" s="499" t="n">
        <f aca="false">IF(ISERROR(MATCH(A35,'liste reference'!$A$6:$A$1174,0)),IF(ISERROR(MATCH(A35,'liste reference'!$B$6:$B$1174,0)),"",(MATCH(A35,'liste reference'!$B$6:$B$1174,0))),(MATCH(A35,'liste reference'!$A$6:$A$1174,0)))</f>
        <v>873</v>
      </c>
    </row>
    <row r="36" customFormat="false" ht="12.75" hidden="false" customHeight="false" outlineLevel="0" collapsed="false">
      <c r="A36" s="518" t="s">
        <v>3463</v>
      </c>
      <c r="B36" s="519" t="n">
        <v>0.01</v>
      </c>
      <c r="C36" s="520"/>
      <c r="D36" s="521" t="str">
        <f aca="false">IF(ISERROR(VLOOKUP($A36,'liste reference'!$A$6:$B$1174,2,0)),IF(ISERROR(VLOOKUP($A36,'liste reference'!$B$6:$B$1174,1,0)),"",VLOOKUP($A36,'liste reference'!$B$6:$B$1174,1,0)),VLOOKUP($A36,'liste reference'!$A$6:$B$1174,2,0))</f>
        <v/>
      </c>
      <c r="E36" s="522" t="n">
        <f aca="false">IF(D36="",0,VLOOKUP(D36,D$22:D35,1,0))</f>
        <v>0</v>
      </c>
      <c r="F36" s="523" t="n">
        <f aca="false">IF(AND(OR(A36="",A36="!!!!!!"),B36="",C36=""),"",IF(OR(AND(B36="",C36=""),ISERROR(C36+B36)),"!!!",($B36*$B$7+$C36*$C$7)/100))</f>
        <v>0.009</v>
      </c>
      <c r="G36" s="524" t="str">
        <f aca="false">IF(A36="","",IF(ISERROR(VLOOKUP($A36,'liste reference'!$A$6:$Q$1174,9,0)),IF(ISERROR(VLOOKUP($A36,'liste reference'!$B$6:$Q$1174,8,0)),"    -",VLOOKUP($A36,'liste reference'!$B$6:$Q$1174,8,0)),VLOOKUP($A36,'liste reference'!$A$6:$Q$1174,9,0)))</f>
        <v>    -</v>
      </c>
      <c r="H36" s="525" t="str">
        <f aca="false">IF(A36="","x",IF(ISERROR(VLOOKUP($A36,'liste reference'!$A$6:$Q$1174,10,0)),IF(ISERROR(VLOOKUP($A36,'liste reference'!$B$6:$Q$1174,9,0)),"x",VLOOKUP($A36,'liste reference'!$B$6:$Q$1174,9,0)),VLOOKUP($A36,'liste reference'!$A$6:$Q$1174,10,0)))</f>
        <v>x</v>
      </c>
      <c r="I36" s="309" t="n">
        <f aca="false">IF(A36="","",1)</f>
        <v>1</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Coleodesmium wrangelii</v>
      </c>
      <c r="M36" s="533"/>
      <c r="N36" s="533"/>
      <c r="O36" s="533"/>
      <c r="P36" s="528" t="s">
        <v>3442</v>
      </c>
      <c r="Q36" s="529" t="str">
        <f aca="false">IF(OR($A36="NEWCOD",$A36="!!!!!!"),IF(X36="","NoCod",X36),IF($A36="","",IF(ISERROR(VLOOKUP($A36,'liste reference'!$A$6:$H$1174,8,FALSE())),IF(ISERROR(VLOOKUP($A36,'liste reference'!$B$6:$H$1174,7,FALSE())),"",VLOOKUP($A36,'liste reference'!$B$6:$H$1174,7,FALSE())),VLOOKUP($A36,'liste reference'!$A$6:$H$1174,8,FALSE()))))</f>
        <v>NoCod</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t="s">
        <v>3464</v>
      </c>
      <c r="X36" s="532"/>
      <c r="Y36" s="517" t="str">
        <f aca="false">IF(AND(ISNUMBER(F36),OR(A36="",A36="!!!!!!")),"!!!!!!",IF(A36="new.cod","NEWCOD",IF(AND((Z36=""),ISTEXT(A36),A36&lt;&gt;"!!!!!!"),A36,IF(Z36="","",INDEX('liste reference'!$A$6:$A$1174,Z36)))))</f>
        <v>NEWCOD</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t="s">
        <v>3463</v>
      </c>
      <c r="B37" s="519"/>
      <c r="C37" s="520" t="n">
        <v>1</v>
      </c>
      <c r="D37" s="521" t="str">
        <f aca="false">IF(ISERROR(VLOOKUP($A37,'liste reference'!$A$6:$B$1174,2,0)),IF(ISERROR(VLOOKUP($A37,'liste reference'!$B$6:$B$1174,1,0)),"",VLOOKUP($A37,'liste reference'!$B$6:$B$1174,1,0)),VLOOKUP($A37,'liste reference'!$A$6:$B$1174,2,0))</f>
        <v/>
      </c>
      <c r="E37" s="522" t="n">
        <f aca="false">IF(D37="",0,VLOOKUP(D37,D$22:D36,1,0))</f>
        <v>0</v>
      </c>
      <c r="F37" s="523" t="n">
        <f aca="false">IF(AND(OR(A37="",A37="!!!!!!"),B37="",C37=""),"",IF(OR(AND(B37="",C37=""),ISERROR(C37+B37)),"!!!",($B37*$B$7+$C37*$C$7)/100))</f>
        <v>0.1</v>
      </c>
      <c r="G37" s="524" t="str">
        <f aca="false">IF(A37="","",IF(ISERROR(VLOOKUP($A37,'liste reference'!$A$6:$Q$1174,9,0)),IF(ISERROR(VLOOKUP($A37,'liste reference'!$B$6:$Q$1174,8,0)),"    -",VLOOKUP($A37,'liste reference'!$B$6:$Q$1174,8,0)),VLOOKUP($A37,'liste reference'!$A$6:$Q$1174,9,0)))</f>
        <v>    -</v>
      </c>
      <c r="H37" s="525" t="str">
        <f aca="false">IF(A37="","x",IF(ISERROR(VLOOKUP($A37,'liste reference'!$A$6:$Q$1174,10,0)),IF(ISERROR(VLOOKUP($A37,'liste reference'!$B$6:$Q$1174,9,0)),"x",VLOOKUP($A37,'liste reference'!$B$6:$Q$1174,9,0)),VLOOKUP($A37,'liste reference'!$A$6:$Q$1174,10,0)))</f>
        <v>x</v>
      </c>
      <c r="I37" s="309" t="n">
        <f aca="false">IF(A37="","",1)</f>
        <v>1</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Coleochaete sp.</v>
      </c>
      <c r="M37" s="527"/>
      <c r="N37" s="527"/>
      <c r="O37" s="527"/>
      <c r="P37" s="528" t="s">
        <v>3462</v>
      </c>
      <c r="Q37" s="529" t="str">
        <f aca="false">IF(OR($A37="NEWCOD",$A37="!!!!!!"),IF(X37="","NoCod",X37),IF($A37="","",IF(ISERROR(VLOOKUP($A37,'liste reference'!$A$6:$H$1174,8,FALSE())),IF(ISERROR(VLOOKUP($A37,'liste reference'!$B$6:$H$1174,7,FALSE())),"",VLOOKUP($A37,'liste reference'!$B$6:$H$1174,7,FALSE())),VLOOKUP($A37,'liste reference'!$A$6:$H$1174,8,FALSE()))))</f>
        <v>NoCod</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t="s">
        <v>3465</v>
      </c>
      <c r="X37" s="532"/>
      <c r="Y37" s="517" t="str">
        <f aca="false">IF(AND(ISNUMBER(F37),OR(A37="",A37="!!!!!!")),"!!!!!!",IF(A37="new.cod","NEWCOD",IF(AND((Z37=""),ISTEXT(A37),A37&lt;&gt;"!!!!!!"),A37,IF(Z37="","",INDEX('liste reference'!$A$6:$A$1174,Z37)))))</f>
        <v>NEWCOD</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t="s">
        <v>3463</v>
      </c>
      <c r="B38" s="519"/>
      <c r="C38" s="520" t="n">
        <v>0.005</v>
      </c>
      <c r="D38" s="521" t="str">
        <f aca="false">IF(ISERROR(VLOOKUP($A38,'liste reference'!$A$6:$B$1174,2,0)),IF(ISERROR(VLOOKUP($A38,'liste reference'!$B$6:$B$1174,1,0)),"",VLOOKUP($A38,'liste reference'!$B$6:$B$1174,1,0)),VLOOKUP($A38,'liste reference'!$A$6:$B$1174,2,0))</f>
        <v/>
      </c>
      <c r="E38" s="522" t="n">
        <f aca="false">IF(D38="",0,VLOOKUP(D38,D$22:D37,1,0))</f>
        <v>0</v>
      </c>
      <c r="F38" s="523" t="n">
        <f aca="false">IF(AND(OR(A38="",A38="!!!!!!"),B38="",C38=""),"",IF(OR(AND(B38="",C38=""),ISERROR(C38+B38)),"!!!",($B38*$B$7+$C38*$C$7)/100))</f>
        <v>0.0005</v>
      </c>
      <c r="G38" s="524" t="str">
        <f aca="false">IF(A38="","",IF(ISERROR(VLOOKUP($A38,'liste reference'!$A$6:$Q$1174,9,0)),IF(ISERROR(VLOOKUP($A38,'liste reference'!$B$6:$Q$1174,8,0)),"    -",VLOOKUP($A38,'liste reference'!$B$6:$Q$1174,8,0)),VLOOKUP($A38,'liste reference'!$A$6:$Q$1174,9,0)))</f>
        <v>    -</v>
      </c>
      <c r="H38" s="525" t="str">
        <f aca="false">IF(A38="","x",IF(ISERROR(VLOOKUP($A38,'liste reference'!$A$6:$Q$1174,10,0)),IF(ISERROR(VLOOKUP($A38,'liste reference'!$B$6:$Q$1174,9,0)),"x",VLOOKUP($A38,'liste reference'!$B$6:$Q$1174,9,0)),VLOOKUP($A38,'liste reference'!$A$6:$Q$1174,10,0)))</f>
        <v>x</v>
      </c>
      <c r="I38" s="309" t="n">
        <f aca="false">IF(A38="","",1)</f>
        <v>1</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Klebsormidium sp.</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NoCod</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t="s">
        <v>3466</v>
      </c>
      <c r="X38" s="532"/>
      <c r="Y38" s="517" t="str">
        <f aca="false">IF(AND(ISNUMBER(F38),OR(A38="",A38="!!!!!!")),"!!!!!!",IF(A38="new.cod","NEWCOD",IF(AND((Z38=""),ISTEXT(A38),A38&lt;&gt;"!!!!!!"),A38,IF(Z38="","",INDEX('liste reference'!$A$6:$A$1174,Z38)))))</f>
        <v>NEWCOD</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33"/>
      <c r="N55" s="533"/>
      <c r="O55" s="533"/>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27"/>
      <c r="N56" s="527"/>
      <c r="O56" s="527"/>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27"/>
      <c r="N57" s="527"/>
      <c r="O57" s="527"/>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0.4415</v>
      </c>
      <c r="G83" s="452"/>
      <c r="H83" s="452"/>
      <c r="I83" s="452"/>
      <c r="J83" s="452"/>
      <c r="K83" s="452"/>
      <c r="L83" s="452"/>
      <c r="M83" s="514"/>
      <c r="N83" s="514"/>
      <c r="O83" s="514"/>
      <c r="P83" s="514"/>
      <c r="Q83" s="514"/>
      <c r="R83" s="514"/>
      <c r="S83" s="514"/>
      <c r="T83" s="514"/>
      <c r="U83" s="514"/>
      <c r="V83" s="514" t="n">
        <f aca="false">SUM(V23:V82)</f>
        <v>20</v>
      </c>
      <c r="W83" s="514"/>
      <c r="X83" s="552"/>
      <c r="Y83" s="552"/>
      <c r="Z83" s="553"/>
    </row>
    <row r="84" customFormat="false" ht="12.75" hidden="true" customHeight="false" outlineLevel="0" collapsed="false">
      <c r="A84" s="547" t="str">
        <f aca="false">A3</f>
        <v>CRUZINI</v>
      </c>
      <c r="B84" s="481" t="str">
        <f aca="false">C3</f>
        <v>Azzana</v>
      </c>
      <c r="C84" s="554" t="str">
        <f aca="false">A4</f>
        <v>(Date)</v>
      </c>
      <c r="D84" s="555" t="n">
        <f aca="false">IF(OR(ISERROR(SUM($U$23:$U$82)/SUM($V$23:$V$82)),F7&lt;&gt;100),-1,SUM($U$23:$U$82)/SUM($V$23:$V$82))</f>
        <v>12.9</v>
      </c>
      <c r="E84" s="556" t="n">
        <f aca="false">O13</f>
        <v>16</v>
      </c>
      <c r="F84" s="481" t="n">
        <f aca="false">O14</f>
        <v>9</v>
      </c>
      <c r="G84" s="481" t="n">
        <f aca="false">O15</f>
        <v>2</v>
      </c>
      <c r="H84" s="481" t="n">
        <f aca="false">O16</f>
        <v>6</v>
      </c>
      <c r="I84" s="481" t="n">
        <f aca="false">O17</f>
        <v>1</v>
      </c>
      <c r="J84" s="557" t="n">
        <f aca="false">O8</f>
        <v>12.7777777777778</v>
      </c>
      <c r="K84" s="558" t="n">
        <f aca="false">O9</f>
        <v>2.7397395568751</v>
      </c>
      <c r="L84" s="559" t="n">
        <f aca="false">O10</f>
        <v>6</v>
      </c>
      <c r="M84" s="559" t="n">
        <f aca="false">O11</f>
        <v>16</v>
      </c>
      <c r="N84" s="558" t="n">
        <f aca="false">P8</f>
        <v>1.88888888888889</v>
      </c>
      <c r="O84" s="558" t="n">
        <f aca="false">P9</f>
        <v>0.566557723732532</v>
      </c>
      <c r="P84" s="559" t="n">
        <f aca="false">P10</f>
        <v>1</v>
      </c>
      <c r="Q84" s="559" t="n">
        <f aca="false">P11</f>
        <v>3</v>
      </c>
      <c r="R84" s="559" t="n">
        <f aca="false">F21</f>
        <v>0.4415</v>
      </c>
      <c r="S84" s="559" t="n">
        <f aca="false">L11</f>
        <v>0</v>
      </c>
      <c r="T84" s="559" t="n">
        <f aca="false">L12</f>
        <v>6</v>
      </c>
      <c r="U84" s="559" t="n">
        <f aca="false">L13</f>
        <v>4</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26</v>
      </c>
      <c r="U87" s="309"/>
      <c r="V87" s="309"/>
    </row>
    <row r="88" customFormat="false" ht="12.75" hidden="true" customHeight="false" outlineLevel="0" collapsed="false">
      <c r="C88" s="563"/>
      <c r="D88" s="563"/>
      <c r="E88" s="563"/>
      <c r="R88" s="309" t="s">
        <v>3445</v>
      </c>
      <c r="S88" s="309"/>
      <c r="T88" s="565" t="n">
        <f aca="false">VLOOKUP($T$91,($A$23:$U$82),21,FALSE())</f>
        <v>78</v>
      </c>
      <c r="U88" s="309"/>
      <c r="V88" s="309" t="n">
        <f aca="false">COUNTIF(V23:V82,T89)</f>
        <v>1</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12.8571428571429</v>
      </c>
      <c r="U90" s="309" t="n">
        <f aca="false">IF(ISERROR(T90),0,1)</f>
        <v>1</v>
      </c>
    </row>
    <row r="91" customFormat="false" ht="12.75" hidden="true" customHeight="false" outlineLevel="0" collapsed="false">
      <c r="C91" s="563"/>
      <c r="D91" s="563"/>
      <c r="E91" s="563"/>
      <c r="R91" s="514" t="s">
        <v>3449</v>
      </c>
      <c r="S91" s="514"/>
      <c r="T91" s="514" t="str">
        <f aca="false">INDEX('liste reference'!$A$6:$A$1174,$U$91)</f>
        <v>ZYGSPX</v>
      </c>
      <c r="U91" s="309" t="n">
        <f aca="false">IF(ISERROR(MATCH($T$93,'liste reference'!$A$6:$A$1174,0)),MATCH($T$93,'liste reference'!$B$6:$B$1174,0),(MATCH($T$93,'liste reference'!$A$6:$A$1174,0)))</f>
        <v>119</v>
      </c>
      <c r="V91" s="567"/>
    </row>
    <row r="92" customFormat="false" ht="12.75" hidden="true" customHeight="false" outlineLevel="0" collapsed="false">
      <c r="C92" s="563"/>
      <c r="D92" s="563"/>
      <c r="E92" s="563"/>
      <c r="R92" s="309" t="s">
        <v>3450</v>
      </c>
      <c r="S92" s="309"/>
      <c r="T92" s="309" t="n">
        <f aca="false">MATCH(T89,$V$23:$V$82,0)</f>
        <v>6</v>
      </c>
      <c r="U92" s="309"/>
    </row>
    <row r="93" customFormat="false" ht="12.75" hidden="true" customHeight="false" outlineLevel="0" collapsed="false">
      <c r="C93" s="563"/>
      <c r="D93" s="563"/>
      <c r="E93" s="563"/>
      <c r="R93" s="514" t="s">
        <v>3451</v>
      </c>
      <c r="S93" s="309"/>
      <c r="T93" s="514" t="str">
        <f aca="false">INDEX($A$23:$A$82,$T$92)</f>
        <v>ZYGSPX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3467</v>
      </c>
      <c r="B1" s="570"/>
      <c r="C1" s="570"/>
      <c r="D1" s="570"/>
      <c r="E1" s="571" t="s">
        <v>3468</v>
      </c>
      <c r="F1" s="572" t="s">
        <v>3469</v>
      </c>
      <c r="G1" s="573"/>
      <c r="H1" s="573"/>
      <c r="I1" s="574"/>
      <c r="J1" s="574"/>
      <c r="K1" s="574"/>
      <c r="L1" s="575"/>
    </row>
    <row r="2" customFormat="false" ht="15" hidden="false" customHeight="false" outlineLevel="0" collapsed="false">
      <c r="A2" s="576" t="s">
        <v>3470</v>
      </c>
      <c r="B2" s="577"/>
      <c r="C2" s="578"/>
      <c r="D2" s="578"/>
      <c r="E2" s="579"/>
      <c r="F2" s="572" t="s">
        <v>3471</v>
      </c>
      <c r="G2" s="573"/>
      <c r="H2" s="573"/>
      <c r="I2" s="574"/>
      <c r="J2" s="574"/>
      <c r="K2" s="574"/>
      <c r="L2" s="575"/>
    </row>
    <row r="3" customFormat="false" ht="15.75" hidden="false" customHeight="false" outlineLevel="0" collapsed="false">
      <c r="A3" s="576" t="s">
        <v>3472</v>
      </c>
      <c r="B3" s="577"/>
      <c r="C3" s="578"/>
      <c r="D3" s="580" t="s">
        <v>3473</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3474</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3463</v>
      </c>
      <c r="B9" s="595" t="s">
        <v>3463</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3475</v>
      </c>
      <c r="G17" s="600"/>
      <c r="H17" s="601" t="s">
        <v>3476</v>
      </c>
      <c r="I17" s="600"/>
    </row>
    <row r="18" customFormat="false" ht="15" hidden="false" customHeight="false" outlineLevel="0" collapsed="false">
      <c r="A18" s="594" t="s">
        <v>2960</v>
      </c>
      <c r="B18" s="596" t="s">
        <v>2961</v>
      </c>
      <c r="C18" s="597"/>
      <c r="D18" s="598"/>
      <c r="F18" s="602" t="s">
        <v>3477</v>
      </c>
      <c r="G18" s="603"/>
      <c r="H18" s="602" t="s">
        <v>3477</v>
      </c>
      <c r="I18" s="604"/>
    </row>
    <row r="19" customFormat="false" ht="15" hidden="false" customHeight="false" outlineLevel="0" collapsed="false">
      <c r="A19" s="594" t="s">
        <v>2962</v>
      </c>
      <c r="B19" s="596" t="s">
        <v>2963</v>
      </c>
      <c r="C19" s="597"/>
      <c r="D19" s="598"/>
      <c r="F19" s="605" t="s">
        <v>3458</v>
      </c>
      <c r="G19" s="8"/>
      <c r="H19" s="605" t="s">
        <v>3458</v>
      </c>
      <c r="I19" s="606"/>
    </row>
    <row r="20" customFormat="false" ht="15" hidden="false" customHeight="false" outlineLevel="0" collapsed="false">
      <c r="A20" s="594" t="s">
        <v>2966</v>
      </c>
      <c r="B20" s="596" t="s">
        <v>2967</v>
      </c>
      <c r="C20" s="597"/>
      <c r="D20" s="598"/>
      <c r="F20" s="605" t="s">
        <v>3478</v>
      </c>
      <c r="G20" s="8"/>
      <c r="H20" s="605" t="s">
        <v>3478</v>
      </c>
      <c r="I20" s="606"/>
    </row>
    <row r="21" customFormat="false" ht="15" hidden="false" customHeight="false" outlineLevel="0" collapsed="false">
      <c r="A21" s="594" t="s">
        <v>2315</v>
      </c>
      <c r="B21" s="596" t="s">
        <v>2316</v>
      </c>
      <c r="C21" s="597"/>
      <c r="D21" s="598"/>
      <c r="F21" s="605" t="s">
        <v>3479</v>
      </c>
      <c r="G21" s="8"/>
      <c r="H21" s="605" t="s">
        <v>3479</v>
      </c>
      <c r="I21" s="606"/>
    </row>
    <row r="22" customFormat="false" ht="15" hidden="false" customHeight="false" outlineLevel="0" collapsed="false">
      <c r="A22" s="594" t="s">
        <v>2968</v>
      </c>
      <c r="B22" s="596" t="s">
        <v>2969</v>
      </c>
      <c r="C22" s="597"/>
      <c r="D22" s="598"/>
      <c r="F22" s="605" t="s">
        <v>3480</v>
      </c>
      <c r="G22" s="8"/>
      <c r="H22" s="605" t="s">
        <v>3480</v>
      </c>
      <c r="I22" s="606"/>
    </row>
    <row r="23" customFormat="false" ht="15" hidden="false" customHeight="false" outlineLevel="0" collapsed="false">
      <c r="A23" s="594" t="s">
        <v>1930</v>
      </c>
      <c r="B23" s="596" t="s">
        <v>1931</v>
      </c>
      <c r="C23" s="597"/>
      <c r="D23" s="598"/>
      <c r="F23" s="605" t="s">
        <v>3481</v>
      </c>
      <c r="G23" s="8"/>
      <c r="H23" s="605" t="s">
        <v>3481</v>
      </c>
      <c r="I23" s="606"/>
    </row>
    <row r="24" customFormat="false" ht="15" hidden="false" customHeight="false" outlineLevel="0" collapsed="false">
      <c r="A24" s="594" t="s">
        <v>2970</v>
      </c>
      <c r="B24" s="596" t="s">
        <v>2971</v>
      </c>
      <c r="C24" s="597"/>
      <c r="D24" s="598"/>
      <c r="F24" s="605" t="s">
        <v>3482</v>
      </c>
      <c r="G24" s="8"/>
      <c r="H24" s="605" t="s">
        <v>3482</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3483</v>
      </c>
      <c r="G26" s="8"/>
      <c r="H26" s="605" t="s">
        <v>3483</v>
      </c>
      <c r="I26" s="606"/>
    </row>
    <row r="27" customFormat="false" ht="15" hidden="false" customHeight="false" outlineLevel="0" collapsed="false">
      <c r="A27" s="594" t="s">
        <v>1326</v>
      </c>
      <c r="B27" s="596" t="s">
        <v>1327</v>
      </c>
      <c r="C27" s="597"/>
      <c r="D27" s="598"/>
      <c r="F27" s="607" t="s">
        <v>3484</v>
      </c>
      <c r="G27" s="608"/>
      <c r="H27" s="607" t="s">
        <v>3484</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3485</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3486</v>
      </c>
    </row>
    <row r="37" customFormat="false" ht="15" hidden="false" customHeight="false" outlineLevel="0" collapsed="false">
      <c r="A37" s="594" t="s">
        <v>2976</v>
      </c>
      <c r="B37" s="596" t="s">
        <v>2977</v>
      </c>
      <c r="C37" s="597"/>
      <c r="D37" s="598"/>
      <c r="F37" s="611" t="s">
        <v>3487</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3488</v>
      </c>
    </row>
    <row r="40" customFormat="false" ht="15" hidden="false" customHeight="false" outlineLevel="0" collapsed="false">
      <c r="A40" s="594" t="s">
        <v>621</v>
      </c>
      <c r="B40" s="596" t="s">
        <v>622</v>
      </c>
      <c r="C40" s="597"/>
      <c r="D40" s="598"/>
      <c r="F40" s="613" t="s">
        <v>3489</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3490</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3491</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3492</v>
      </c>
    </row>
    <row r="1188" customFormat="false" ht="15" hidden="false" customHeight="false" outlineLevel="0" collapsed="false">
      <c r="A1188" s="592"/>
      <c r="B1188" s="596" t="s">
        <v>3493</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3494</v>
      </c>
    </row>
    <row r="1229" customFormat="false" ht="15" hidden="false" customHeight="false" outlineLevel="0" collapsed="false">
      <c r="A1229" s="592"/>
      <c r="B1229" s="596" t="s">
        <v>3495</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vbou</cp:lastModifiedBy>
  <cp:lastPrinted>2015-05-20T12:23:22Z</cp:lastPrinted>
  <dcterms:modified xsi:type="dcterms:W3CDTF">2016-06-08T14:36:54Z</dcterms:modified>
  <cp:revision>0</cp:revision>
  <dc:subject/>
  <dc:title>Feuille d'aide au calcul de l'IBMR</dc:title>
</cp:coreProperties>
</file>