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850" sheetId="6" state="visible" r:id="rId8"/>
    <sheet name="jgjg" sheetId="7" state="hidden" r:id="rId9"/>
    <sheet name="liste codes réf" sheetId="8" state="hidden" r:id="rId10"/>
  </sheets>
  <definedNames>
    <definedName function="false" hidden="false" localSheetId="5" name="_xlnm.Print_Area" vbProcedure="false">'06215850'!$A$1:$Q$82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<sst xmlns="http://schemas.openxmlformats.org/spreadsheetml/2006/main" count="8844" uniqueCount="3503">
  <si>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</si>
  <si>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</si>
  <si>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</si>
  <si>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</si>
  <si>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</si>
  <si>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</si>
  <si>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</si>
  <si>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</si>
  <si>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</si>
  <si>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</si>
  <si>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</si>
  <si>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</si>
  <si>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</si>
  <si>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</si>
  <si>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</si>
  <si>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</si>
  <si>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</si>
  <si>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</si>
  <si>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</si>
  <si>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</si>
  <si>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</si>
  <si>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</si>
  <si>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</si>
  <si>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</si>
  <si>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</si>
  <si>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</si>
  <si>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</si>
  <si>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</si>
  <si>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</si>
  <si>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</si>
  <si>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</si>
  <si>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</si>
  <si>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</si>
  <si>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</si>
  <si>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</si>
  <si>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</si>
  <si>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</si>
  <si>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</si>
  <si>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</si>
  <si>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</si>
  <si>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</si>
  <si>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</si>
  <si>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</si>
  <si>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</si>
  <si>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</si>
  <si>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</si>
  <si>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</si>
  <si>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</si>
  <si>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</si>
  <si>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</si>
  <si>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</si>
  <si>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</si>
  <si>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</si>
  <si>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</si>
  <si>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</si>
  <si>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</si>
  <si>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</si>
  <si>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</si>
  <si>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</si>
  <si>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</si>
  <si>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</si>
  <si>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</si>
  <si>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</si>
  <si>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</si>
  <si>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</si>
  <si>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</si>
  <si>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</si>
  <si>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</si>
  <si>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</si>
  <si>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</si>
  <si>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</si>
  <si>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</si>
  <si>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</si>
  <si>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</si>
  <si>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</si>
  <si>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</si>
  <si>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</si>
  <si>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</si>
  <si>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</si>
  <si>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</si>
  <si>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</si>
  <si>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</si>
  <si>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</si>
  <si>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</si>
  <si>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</si>
  <si>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</si>
  <si>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</si>
  <si>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</si>
  <si>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</si>
  <si>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</si>
  <si>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</si>
  <si>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</si>
  <si>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</si>
  <si>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</si>
  <si>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</si>
  <si>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</si>
  <si>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</si>
  <si>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</si>
  <si>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</si>
  <si>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</si>
  <si>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</si>
  <si>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</si>
  <si>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</si>
  <si>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</si>
  <si>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</si>
  <si>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</si>
  <si>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</si>
  <si>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</si>
  <si>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</si>
  <si>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</si>
  <si>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</si>
  <si>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</si>
  <si>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</si>
  <si>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</si>
  <si>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</si>
  <si>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</si>
  <si>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</si>
  <si>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</si>
  <si>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</si>
  <si>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</si>
  <si>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</si>
  <si>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</si>
  <si>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</si>
  <si>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</si>
  <si>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</si>
  <si>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</si>
  <si>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</si>
  <si>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</si>
  <si>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</si>
  <si>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</si>
  <si>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</si>
  <si>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</si>
  <si>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</si>
  <si>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</si>
  <si>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</si>
  <si>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</si>
  <si>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</si>
  <si>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</si>
  <si>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</si>
  <si>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</si>
  <si>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</si>
  <si>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</si>
  <si>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</si>
  <si>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</si>
  <si>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</si>
  <si>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</si>
  <si>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</si>
  <si>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</si>
  <si>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</si>
  <si>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</si>
  <si>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</si>
  <si>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</si>
  <si>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</si>
  <si>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</si>
  <si>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</si>
  <si>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</si>
  <si>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</si>
  <si>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</si>
  <si>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</si>
  <si>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</si>
  <si>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</si>
  <si>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</si>
  <si>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</si>
  <si>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</si>
  <si>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</si>
  <si>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</si>
  <si>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</si>
  <si>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</si>
  <si>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</si>
  <si>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</si>
  <si>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</si>
  <si>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</si>
  <si>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</si>
  <si>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</si>
  <si>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</si>
  <si>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</si>
  <si>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</si>
  <si>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</si>
  <si>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</si>
  <si>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</si>
  <si>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</si>
  <si>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</si>
  <si>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</si>
  <si>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</si>
  <si>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</si>
  <si>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</si>
  <si>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</si>
  <si>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</si>
  <si>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</si>
  <si>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</si>
  <si>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</si>
  <si>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</si>
  <si>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</si>
  <si>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</si>
  <si>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</si>
  <si>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</si>
  <si>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</si>
  <si>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</si>
  <si>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</si>
  <si>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</si>
  <si>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</si>
  <si>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</si>
  <si>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</si>
  <si>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</si>
  <si>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</si>
  <si>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</si>
  <si>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</si>
  <si>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</si>
  <si>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</si>
  <si>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</si>
  <si>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</si>
  <si>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</si>
  <si>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</si>
  <si>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</si>
  <si>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</si>
  <si>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</si>
  <si>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</si>
  <si>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</si>
  <si>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</si>
  <si>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</si>
  <si>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</si>
  <si>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</si>
  <si>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</si>
  <si>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</si>
  <si>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</si>
  <si>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</si>
  <si>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</si>
  <si>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</si>
  <si>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</si>
  <si>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</si>
  <si>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</si>
  <si>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</si>
  <si>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</si>
  <si>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</si>
  <si>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</si>
  <si>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</si>
  <si>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</si>
  <si>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</si>
  <si>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</si>
  <si>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</si>
  <si>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</si>
  <si>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</si>
  <si>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</si>
  <si>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</si>
  <si>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</si>
  <si>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</si>
  <si>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</si>
  <si>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</si>
  <si>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</si>
  <si>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</si>
  <si>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</si>
  <si>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</si>
  <si>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</si>
  <si>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</si>
  <si>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</si>
  <si>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</si>
  <si>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</si>
  <si>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</si>
  <si>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</si>
  <si>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</si>
  <si>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</si>
  <si>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</si>
  <si>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</si>
  <si>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</si>
  <si>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</si>
  <si>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</si>
  <si>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</si>
  <si>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</si>
  <si>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</si>
  <si>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</si>
  <si>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</si>
  <si>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</si>
  <si>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</si>
  <si>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</si>
  <si>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</si>
  <si>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</si>
  <si>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</si>
  <si>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</si>
  <si>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</si>
  <si>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</si>
  <si>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</si>
  <si>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</si>
  <si>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</si>
  <si>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</si>
  <si>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</si>
  <si>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</si>
  <si>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</si>
  <si>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</si>
  <si>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</si>
  <si>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</si>
  <si>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</si>
  <si>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</si>
  <si>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</si>
  <si>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</si>
  <si>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</si>
  <si>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</si>
  <si>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</si>
  <si>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</si>
  <si>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</si>
  <si>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</si>
  <si>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</si>
  <si>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</si>
  <si>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</si>
  <si>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</si>
  <si>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</si>
  <si>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</si>
  <si>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</si>
  <si>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</si>
  <si>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</si>
  <si>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</si>
  <si>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</si>
  <si>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</si>
  <si>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</si>
  <si>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</si>
  <si>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</si>
  <si>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</si>
  <si>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</si>
  <si>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</si>
  <si>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</si>
  <si>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</si>
  <si>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</si>
  <si>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</si>
  <si>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</si>
  <si>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</si>
  <si>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</si>
  <si>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</si>
  <si>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</si>
  <si>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</si>
  <si>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</si>
  <si>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</si>
  <si>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</si>
  <si>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</si>
  <si>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</si>
  <si>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</si>
  <si>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</si>
  <si>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</si>
  <si>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</si>
  <si>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</si>
  <si>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</si>
  <si>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</si>
  <si>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</si>
  <si>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</si>
  <si>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</si>
  <si>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</si>
  <si>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</si>
  <si>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</si>
  <si>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</si>
  <si>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</si>
  <si>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</si>
  <si>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</si>
  <si>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</si>
  <si>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</si>
  <si>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</si>
  <si>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</si>
  <si>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</si>
  <si>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</si>
  <si>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</si>
  <si>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</si>
  <si>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</si>
  <si>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</si>
  <si>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</si>
  <si>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</si>
  <si>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</si>
  <si>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</si>
  <si>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</si>
  <si>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</si>
  <si>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</si>
  <si>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</si>
  <si>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</si>
  <si>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</si>
  <si>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</si>
  <si>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</si>
  <si>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</si>
  <si>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</si>
  <si>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</si>
  <si>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</si>
  <si>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</si>
  <si>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</si>
  <si>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</si>
  <si>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</si>
  <si>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</si>
  <si>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</si>
  <si>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</si>
  <si>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</si>
  <si>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</si>
  <si>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</si>
  <si>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</si>
  <si>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</si>
  <si>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</si>
  <si>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</si>
  <si>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</si>
  <si>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</si>
  <si>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</si>
  <si>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</si>
  <si>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</si>
  <si>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</si>
  <si>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</si>
  <si>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</si>
  <si>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</si>
  <si>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</si>
  <si>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</si>
  <si>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</si>
  <si>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</si>
  <si>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</si>
  <si>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</si>
  <si>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</si>
  <si>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</si>
  <si>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</si>
  <si>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</si>
  <si>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</si>
  <si>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</si>
  <si>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</si>
  <si>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</si>
  <si>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</si>
  <si>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</si>
  <si>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</si>
  <si>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</si>
  <si>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</si>
  <si>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</si>
  <si>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</si>
  <si>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</si>
  <si>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</si>
  <si>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</si>
  <si>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</si>
  <si>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</si>
  <si>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</si>
  <si>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</si>
  <si>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</si>
  <si>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</si>
  <si>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</si>
  <si>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</si>
  <si>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</si>
  <si>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</si>
  <si>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</si>
  <si>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</si>
  <si>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</si>
  <si>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</si>
  <si>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</si>
  <si>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</si>
  <si>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</si>
  <si>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</si>
  <si>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</si>
  <si>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</si>
  <si>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</si>
  <si>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</si>
  <si>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</si>
  <si>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</si>
  <si>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</si>
  <si>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</si>
  <si>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</si>
  <si>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</si>
  <si>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</si>
  <si>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</si>
  <si>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</si>
  <si>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</si>
  <si>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</si>
  <si>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</si>
  <si>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</si>
  <si>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</si>
  <si>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</si>
  <si>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</si>
  <si>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</si>
  <si>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</si>
  <si>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</si>
  <si>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</si>
  <si>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</si>
  <si>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</si>
  <si>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</si>
  <si>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</si>
  <si>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</si>
  <si>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</si>
  <si>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</si>
  <si>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</si>
  <si>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</si>
  <si>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</si>
  <si>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</si>
  <si>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</si>
  <si>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</si>
  <si>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</si>
  <si>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</si>
  <si>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</si>
  <si>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</si>
  <si>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</si>
  <si>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</si>
  <si>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</si>
  <si>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</si>
  <si>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</si>
  <si>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</si>
  <si>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</si>
  <si>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</si>
  <si>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</si>
  <si>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</si>
  <si>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</si>
  <si>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</si>
  <si>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</si>
  <si>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</si>
  <si>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</si>
  <si>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</si>
  <si>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</si>
  <si>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</si>
  <si>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</si>
  <si>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</si>
  <si>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</si>
  <si>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</si>
  <si>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</si>
  <si>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</si>
  <si>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</si>
  <si>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</si>
  <si>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</si>
  <si>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</si>
  <si>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</si>
  <si>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</si>
  <si>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</si>
  <si>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</si>
  <si>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</si>
  <si>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</si>
  <si>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</si>
  <si>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</si>
  <si>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</si>
  <si>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</si>
  <si>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</si>
  <si>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</si>
  <si>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</si>
  <si>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</si>
  <si>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</si>
  <si>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</si>
  <si>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</si>
  <si>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</si>
  <si>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</si>
  <si>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</si>
  <si>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</si>
  <si>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</si>
  <si>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</si>
  <si>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</si>
  <si>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</si>
  <si>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</si>
  <si>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</si>
  <si>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</si>
  <si>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</si>
  <si>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</si>
  <si>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</si>
  <si>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</si>
  <si>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</si>
  <si>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</si>
  <si>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</si>
  <si>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</si>
  <si>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</si>
  <si>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</si>
  <si>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</si>
  <si>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</si>
  <si>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</si>
  <si>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</si>
  <si>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</si>
  <si>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</si>
  <si>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</si>
  <si>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</si>
  <si>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</si>
  <si>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</si>
  <si>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</si>
  <si>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</si>
  <si>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</si>
  <si>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</si>
  <si>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</si>
  <si>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</si>
  <si>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</si>
  <si>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</si>
  <si>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</si>
  <si>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</si>
  <si>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</si>
  <si>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</si>
  <si>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</si>
  <si>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</si>
  <si>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</si>
  <si>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</si>
  <si>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</si>
  <si>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</si>
  <si>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</si>
  <si>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</si>
  <si>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</si>
  <si>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</si>
  <si>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</si>
  <si>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</si>
  <si>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</si>
  <si>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</si>
  <si>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</si>
  <si>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</si>
  <si>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</si>
  <si>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</si>
  <si>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</si>
  <si>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</si>
  <si>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</si>
  <si>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</si>
  <si>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</si>
  <si>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</si>
  <si>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</si>
  <si>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</si>
  <si>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</si>
  <si>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</si>
  <si>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</si>
  <si>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</si>
  <si>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</si>
  <si>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</si>
  <si>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</si>
  <si>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</si>
  <si>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</si>
  <si>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</si>
  <si>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</si>
  <si>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</si>
  <si>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</si>
  <si>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</si>
  <si>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</si>
  <si>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</si>
  <si>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</si>
  <si>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</si>
  <si>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</si>
  <si>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</si>
  <si>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</si>
  <si>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</si>
  <si>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</si>
  <si>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</si>
  <si>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</si>
  <si>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</si>
  <si>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</si>
  <si>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</si>
  <si>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</si>
  <si>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</si>
  <si>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</si>
  <si>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</si>
  <si>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</si>
  <si>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</si>
  <si>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</si>
  <si>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</si>
  <si>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</si>
  <si>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</si>
  <si>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</si>
  <si>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</si>
  <si>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</si>
  <si>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</si>
  <si>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</si>
  <si>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</si>
  <si>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</si>
  <si>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</si>
  <si>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</si>
  <si>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</si>
  <si>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</si>
  <si>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</si>
  <si>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</si>
  <si>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</si>
  <si>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</si>
  <si>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</si>
  <si>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</si>
  <si>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</si>
  <si>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</si>
  <si>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</si>
  <si>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</si>
  <si>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</si>
  <si>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</si>
  <si>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</si>
  <si>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</si>
  <si>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</si>
  <si>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</si>
  <si>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</si>
  <si>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</si>
  <si>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</si>
  <si>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</si>
  <si>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</si>
  <si>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</si>
  <si>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</si>
  <si>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</si>
  <si>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</si>
  <si>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</si>
  <si>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</si>
  <si>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</si>
  <si>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</si>
  <si>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</si>
  <si>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</si>
  <si>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</si>
  <si>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</si>
  <si>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</si>
  <si>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</si>
  <si>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</si>
  <si>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</si>
  <si>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</si>
  <si>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</si>
  <si>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</si>
  <si>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</si>
  <si>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</si>
  <si>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</si>
  <si>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</si>
  <si>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</si>
  <si>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</si>
  <si>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</si>
  <si>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</si>
  <si>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</si>
  <si>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</si>
  <si>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</si>
  <si>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</si>
  <si>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</si>
  <si>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</si>
  <si>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</si>
  <si>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</si>
  <si>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</si>
  <si>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</si>
  <si>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</si>
  <si>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</si>
  <si>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</si>
  <si>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</si>
  <si>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</si>
  <si>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</si>
  <si>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</si>
  <si>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</si>
  <si>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</si>
  <si>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</si>
  <si>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</si>
  <si>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</si>
  <si>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</si>
  <si>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</si>
  <si>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</si>
  <si>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</si>
  <si>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</si>
  <si>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</si>
  <si>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</si>
  <si>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</si>
  <si>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</si>
  <si>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</si>
  <si>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</si>
  <si>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</si>
  <si>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</si>
  <si>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</si>
  <si>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</si>
  <si>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</si>
  <si>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</si>
  <si>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</si>
  <si>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</si>
  <si>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</si>
  <si>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</si>
  <si>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</si>
  <si>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</si>
  <si>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</si>
  <si>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</si>
  <si>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</si>
  <si>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</si>
  <si>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</si>
  <si>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</si>
  <si>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</si>
  <si>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</si>
  <si>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</si>
  <si>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</si>
  <si>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</si>
  <si>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</si>
  <si>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</si>
  <si>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</si>
  <si>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</si>
  <si>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</si>
  <si>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</si>
  <si>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</si>
  <si>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</si>
  <si>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</si>
  <si>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</si>
  <si>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</si>
  <si>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</si>
  <si>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</si>
  <si>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</si>
  <si>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</si>
  <si>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</si>
  <si>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</si>
  <si>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</si>
  <si>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</si>
  <si>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</si>
  <si>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</si>
  <si>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</si>
  <si>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</si>
  <si>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</si>
  <si>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</si>
  <si>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</si>
  <si>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</si>
  <si>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</si>
  <si>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</si>
  <si>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</si>
  <si>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</si>
  <si>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</si>
  <si>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</si>
  <si>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</si>
  <si>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</si>
  <si>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</si>
  <si>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</si>
  <si>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</si>
  <si>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</si>
  <si>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</si>
  <si>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</si>
  <si>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</si>
  <si>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</si>
  <si>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</si>
  <si>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</si>
  <si>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</si>
  <si>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</si>
  <si>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</si>
  <si>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</si>
  <si>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</si>
  <si>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</si>
  <si>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</si>
  <si>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</si>
  <si>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</si>
  <si>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</si>
  <si>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</si>
  <si>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</si>
  <si>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</si>
  <si>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</si>
  <si>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</si>
  <si>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</si>
  <si>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</si>
  <si>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</si>
  <si>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</si>
  <si>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</si>
  <si>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</si>
  <si>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</si>
  <si>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</si>
  <si>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</si>
  <si>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</si>
  <si>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</si>
  <si>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</si>
  <si>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</si>
  <si>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</si>
  <si>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</si>
  <si>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</si>
  <si>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</si>
  <si>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</si>
  <si>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</si>
  <si>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</si>
  <si>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</si>
  <si>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</si>
  <si>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</si>
  <si>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</si>
  <si>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</si>
  <si>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</si>
  <si>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</si>
  <si>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</si>
  <si>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</si>
  <si>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</si>
  <si>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</si>
  <si>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</si>
  <si>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</si>
  <si>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</si>
  <si>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</si>
  <si>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</si>
  <si>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</si>
  <si>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</si>
  <si>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</si>
  <si>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</si>
  <si>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</si>
  <si>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</si>
  <si>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</si>
  <si>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</si>
  <si>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</si>
  <si>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</si>
  <si>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</si>
  <si>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</si>
  <si>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</si>
  <si>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</si>
  <si>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</si>
  <si>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</si>
  <si>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</si>
  <si>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</si>
  <si>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</si>
  <si>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</si>
  <si>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</si>
  <si>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</si>
  <si>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</si>
  <si>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</si>
  <si>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</si>
  <si>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</si>
  <si>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</si>
  <si>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</si>
  <si>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</si>
  <si>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</si>
  <si>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</si>
  <si>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</si>
  <si>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</si>
  <si>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</si>
  <si>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</si>
  <si>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</si>
  <si>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</si>
  <si>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</si>
  <si>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</si>
  <si>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</si>
  <si>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</si>
  <si>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</si>
  <si>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</si>
  <si>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</si>
  <si>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</si>
  <si>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</si>
  <si>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</si>
  <si>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</si>
  <si>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</si>
  <si>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</si>
  <si>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</si>
  <si>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</si>
  <si>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</si>
  <si>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</si>
  <si>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</si>
  <si>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</si>
  <si>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</si>
  <si>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</si>
  <si>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</si>
  <si>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</si>
  <si>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</si>
  <si>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</si>
  <si>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</si>
  <si>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</si>
  <si>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</si>
  <si>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</si>
  <si>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</si>
  <si>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</si>
  <si>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</si>
  <si>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</si>
  <si>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</si>
  <si>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</si>
  <si>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</si>
  <si>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</si>
  <si>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</si>
  <si>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</si>
  <si>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</si>
  <si>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</si>
  <si>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</si>
  <si>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</si>
  <si>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</si>
  <si>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</si>
  <si>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</si>
  <si>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</si>
  <si>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</si>
  <si>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</si>
  <si>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</si>
  <si>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</si>
  <si>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</si>
  <si>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</si>
  <si>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</si>
  <si>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</si>
  <si>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</si>
  <si>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</si>
  <si>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</si>
  <si>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</si>
  <si>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</si>
  <si>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</si>
  <si>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</si>
  <si>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</si>
  <si>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</si>
  <si>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</si>
  <si>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</si>
  <si>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</si>
  <si>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</si>
  <si>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</si>
  <si>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</si>
  <si>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</si>
  <si>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</si>
  <si>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</si>
  <si>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</si>
  <si>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</si>
  <si>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</si>
  <si>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</si>
  <si>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</si>
  <si>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</si>
  <si>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</si>
  <si>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</si>
  <si>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</si>
  <si>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</si>
  <si>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</si>
  <si>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</si>
  <si>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</si>
  <si>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</si>
  <si>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</si>
  <si>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</si>
  <si>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</si>
  <si>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</si>
  <si>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</si>
  <si>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</si>
  <si>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</si>
  <si>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</si>
  <si>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</si>
  <si>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</si>
  <si>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</si>
  <si>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</si>
  <si>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</si>
  <si>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</si>
  <si>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</si>
  <si>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</si>
  <si>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</si>
  <si>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</si>
  <si>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</si>
  <si>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</si>
  <si>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</si>
  <si>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</si>
  <si>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</si>
  <si>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</si>
  <si>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</si>
  <si>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</si>
  <si>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</si>
  <si>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</si>
  <si>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</si>
  <si>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</si>
  <si>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</si>
  <si>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</si>
  <si>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</si>
  <si>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</si>
  <si>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</si>
  <si>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</si>
  <si>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</si>
  <si>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</si>
  <si>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</si>
  <si>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</si>
  <si>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</si>
  <si>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</si>
  <si>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</si>
  <si>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</si>
  <si>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</si>
  <si>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</si>
  <si>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</si>
  <si>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</si>
  <si>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</si>
  <si>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</si>
  <si>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</si>
  <si>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</si>
  <si>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</si>
  <si>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</si>
  <si>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</si>
  <si>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</si>
  <si>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</si>
  <si>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</si>
  <si>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</si>
  <si>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</si>
  <si>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</si>
  <si>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</si>
  <si>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</si>
  <si>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</si>
  <si>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</si>
  <si>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</si>
  <si>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</si>
  <si>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</si>
  <si>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</si>
  <si>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</si>
  <si>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</si>
  <si>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</si>
  <si>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</si>
  <si>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</si>
  <si>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</si>
  <si>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</si>
  <si>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</si>
  <si>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</si>
  <si>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</si>
  <si>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</si>
  <si>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</si>
  <si>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</si>
  <si>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</si>
  <si>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</si>
  <si>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</si>
  <si>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</si>
  <si>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</si>
  <si>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</si>
  <si>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</si>
  <si>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</si>
  <si>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</si>
  <si>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</si>
  <si>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</si>
  <si>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</si>
  <si>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</si>
  <si>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</si>
  <si>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</si>
  <si>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</si>
  <si>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</si>
  <si>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</si>
  <si>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</si>
  <si>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</si>
  <si>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</si>
  <si>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</si>
  <si>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</si>
  <si>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</si>
  <si>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</si>
  <si>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</si>
  <si>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</si>
  <si>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</si>
  <si>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</si>
  <si>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</si>
  <si>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</si>
  <si>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</si>
  <si>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</si>
  <si>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</si>
  <si>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</si>
  <si>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</si>
  <si>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</si>
  <si>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</si>
  <si>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</si>
  <si>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</si>
  <si>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</si>
  <si>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</si>
  <si>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</si>
  <si>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</si>
  <si>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</si>
  <si>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</si>
  <si>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</si>
  <si>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</si>
  <si>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</si>
  <si>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</si>
  <si>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</si>
  <si>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</si>
  <si>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</si>
  <si>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</si>
  <si>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</si>
  <si>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</si>
  <si>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</si>
  <si>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</si>
  <si>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</si>
  <si>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</si>
  <si>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</si>
  <si>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</si>
  <si>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</si>
  <si>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</si>
  <si>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</si>
  <si>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</si>
  <si>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</si>
  <si>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</si>
  <si>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</si>
  <si>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</si>
  <si>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</si>
  <si>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</si>
  <si>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</si>
  <si>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</si>
  <si>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</si>
  <si>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</si>
  <si>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</si>
  <si>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</si>
  <si>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</si>
  <si>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</si>
  <si>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</si>
  <si>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</si>
  <si>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</si>
  <si>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</si>
  <si>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</si>
  <si>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</si>
  <si>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</si>
  <si>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</si>
  <si>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</si>
  <si>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</si>
  <si>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</si>
  <si>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</si>
  <si>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</si>
  <si>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</si>
  <si>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</si>
  <si>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</si>
  <si>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</si>
  <si>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</si>
  <si>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</si>
  <si>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</si>
  <si>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</si>
  <si>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</si>
  <si>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</si>
  <si>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</si>
  <si>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</si>
  <si>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</si>
  <si>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</si>
  <si>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</si>
  <si>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</si>
  <si>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</si>
  <si>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</si>
  <si>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</si>
  <si>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</si>
  <si>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</si>
  <si>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</si>
  <si>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</si>
  <si>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</si>
  <si>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</si>
  <si>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</si>
  <si>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</si>
  <si>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</si>
  <si>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</si>
  <si>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</si>
  <si>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</si>
  <si>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</si>
  <si>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</si>
  <si>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</si>
  <si>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</si>
  <si>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</si>
  <si>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</si>
  <si>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</si>
  <si>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</si>
  <si>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</si>
  <si>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</si>
  <si>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</si>
  <si>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</si>
  <si>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</si>
  <si>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</si>
  <si>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</si>
  <si>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</si>
  <si>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</si>
  <si>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</si>
  <si>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</si>
  <si>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</si>
  <si>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</si>
  <si>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</si>
  <si>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</si>
  <si>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</si>
  <si>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</si>
  <si>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</si>
  <si>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</si>
  <si>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</si>
  <si>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</si>
  <si>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</si>
  <si>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</si>
  <si>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</si>
  <si>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</si>
  <si>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</si>
  <si>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</si>
  <si>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</si>
  <si>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</si>
  <si>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</si>
  <si>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</si>
  <si>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</si>
  <si>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</si>
  <si>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</si>
  <si>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</si>
  <si>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</si>
  <si>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</si>
  <si>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</si>
  <si>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</si>
  <si>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</si>
  <si>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</si>
  <si>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</si>
  <si>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</si>
  <si>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</si>
  <si>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</si>
  <si>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</si>
  <si>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</si>
  <si>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</si>
  <si>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</si>
  <si>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</si>
  <si>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</si>
  <si>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</si>
  <si>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</si>
  <si>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</si>
  <si>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</si>
  <si>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</si>
  <si>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</si>
  <si>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</si>
  <si>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</si>
  <si>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</si>
  <si>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</si>
  <si>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</si>
  <si>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</si>
  <si>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</si>
  <si>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</si>
  <si>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</si>
  <si>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</si>
  <si>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</si>
  <si>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</si>
  <si>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</si>
  <si>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</si>
  <si>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</si>
  <si>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</si>
  <si>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</si>
  <si>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</si>
  <si>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</si>
  <si>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</si>
  <si>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</si>
  <si>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</si>
  <si>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</si>
  <si>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</si>
  <si>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</si>
  <si>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</si>
  <si>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</si>
  <si>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</si>
  <si>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</si>
  <si>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</si>
  <si>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</si>
  <si>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</si>
  <si>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</si>
  <si>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</si>
  <si>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</si>
  <si>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</si>
  <si>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</si>
  <si>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</si>
  <si>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</si>
  <si>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</si>
  <si>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</si>
  <si>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</si>
  <si>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</si>
  <si>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</si>
  <si>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</si>
  <si>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</si>
  <si>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</si>
  <si>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</si>
  <si>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</si>
  <si>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</si>
  <si>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</si>
  <si>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</si>
  <si>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</si>
  <si>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</si>
  <si>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</si>
  <si>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</si>
  <si>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</si>
  <si>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</si>
  <si>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</si>
  <si>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</si>
  <si>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</si>
  <si>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</si>
  <si>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</si>
  <si>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</si>
  <si>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</si>
  <si>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</si>
  <si>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</si>
  <si>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</si>
  <si>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</si>
  <si>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</si>
  <si>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</si>
  <si>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</si>
  <si>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</si>
  <si>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</si>
  <si>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</si>
  <si>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</si>
  <si>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</si>
  <si>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</si>
  <si>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</si>
  <si>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</si>
  <si>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</si>
  <si>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</si>
  <si>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</si>
  <si>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</si>
  <si>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</si>
  <si>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</si>
  <si>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</si>
  <si>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</si>
  <si>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</si>
  <si>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</si>
  <si>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</si>
  <si>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</si>
  <si>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</si>
  <si>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</si>
  <si>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</si>
  <si>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</si>
  <si>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</si>
  <si>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</si>
  <si>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</si>
  <si>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</si>
  <si>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</si>
  <si>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</si>
  <si>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</si>
  <si>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</si>
  <si>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</si>
  <si>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</si>
  <si>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</si>
  <si>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</si>
  <si>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</si>
  <si>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</si>
  <si>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</si>
  <si>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</si>
  <si>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</si>
  <si>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</si>
  <si>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</si>
  <si>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</si>
  <si>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</si>
  <si>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</si>
  <si>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</si>
  <si>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</si>
  <si>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</si>
  <si>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</si>
  <si>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</si>
  <si>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</si>
  <si>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</si>
  <si>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</si>
  <si>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</si>
  <si>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</si>
  <si>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</si>
  <si>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</si>
  <si>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</si>
  <si>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</si>
  <si>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</si>
  <si>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</si>
  <si>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</si>
  <si>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</si>
  <si>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</si>
  <si>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</si>
  <si>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</si>
  <si>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</si>
  <si>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</si>
  <si>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</si>
  <si>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</si>
  <si>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</si>
  <si>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</si>
  <si>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</si>
  <si>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</si>
  <si>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</si>
  <si>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</si>
  <si>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</si>
  <si>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</si>
  <si>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</si>
  <si>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</si>
  <si>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</si>
  <si>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</si>
  <si>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</si>
  <si>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</si>
  <si>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</si>
  <si>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</si>
  <si>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</si>
  <si>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</si>
  <si>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</si>
  <si>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</si>
  <si>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</si>
  <si>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</si>
  <si>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</si>
  <si>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</si>
  <si>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</si>
  <si>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</si>
  <si>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</si>
  <si>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</si>
  <si>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</si>
  <si>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</si>
  <si>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</si>
  <si>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</si>
  <si>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</si>
  <si>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</si>
  <si>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</si>
  <si>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</si>
  <si>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</si>
  <si>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</si>
  <si>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</si>
  <si>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</si>
  <si>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</si>
  <si>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</si>
  <si>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</si>
  <si>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</si>
  <si>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</si>
  <si>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</si>
  <si>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</si>
  <si>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</si>
  <si>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</si>
  <si>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</si>
  <si>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</si>
  <si>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</si>
  <si>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</si>
  <si>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</si>
  <si>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</si>
  <si>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</si>
  <si>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</si>
  <si>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</si>
  <si>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</si>
  <si>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</si>
  <si>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</si>
  <si>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</si>
  <si>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</si>
  <si>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</si>
  <si>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</si>
  <si>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</si>
  <si>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</si>
  <si>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</si>
  <si>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</si>
  <si>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</si>
  <si>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</si>
  <si>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</si>
  <si>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</si>
  <si>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</si>
  <si>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</si>
  <si>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</si>
  <si>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</si>
  <si>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</si>
  <si>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</si>
  <si>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</si>
  <si>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</si>
  <si>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</si>
  <si>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</si>
  <si>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</si>
  <si>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</si>
  <si>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</si>
  <si>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</si>
  <si>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</si>
  <si>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</si>
  <si>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</si>
  <si>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</si>
  <si>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</si>
  <si>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</si>
  <si>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</si>
  <si>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</si>
  <si>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</si>
  <si>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</si>
  <si>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</si>
  <si>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</si>
  <si>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</si>
  <si>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</si>
  <si>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</si>
  <si>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</si>
  <si>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</si>
  <si>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</si>
  <si>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</si>
  <si>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</si>
  <si>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</si>
  <si>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</si>
  <si>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</si>
  <si>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</si>
  <si>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</si>
  <si>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</si>
  <si>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</si>
  <si>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</si>
  <si>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</si>
  <si>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</si>
  <si>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</si>
  <si>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</si>
  <si>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</si>
  <si>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</si>
  <si>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</si>
  <si>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</si>
  <si>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</si>
  <si>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</si>
  <si>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</si>
  <si>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</si>
  <si>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</si>
  <si>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</si>
  <si>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</si>
  <si>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</si>
  <si>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</si>
  <si>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</si>
  <si>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</si>
  <si>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</si>
  <si>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</si>
  <si>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</si>
  <si>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</si>
  <si>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</si>
  <si>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</si>
  <si>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</si>
  <si>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</si>
  <si>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</si>
  <si>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</si>
  <si>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</si>
  <si>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</si>
  <si>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</si>
  <si>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</si>
  <si>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</si>
  <si>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</si>
  <si>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</si>
  <si>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</si>
  <si>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</si>
  <si>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</si>
  <si>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</si>
  <si>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</si>
  <si>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</si>
  <si>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</si>
  <si>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</si>
  <si>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</si>
  <si>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</si>
  <si>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</si>
  <si>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</si>
  <si>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</si>
  <si>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</si>
  <si>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</si>
  <si>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</si>
  <si>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</si>
  <si>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</si>
  <si>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</si>
  <si>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</si>
  <si>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</si>
  <si>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</si>
  <si>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</si>
  <si>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</si>
  <si>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</si>
  <si>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</si>
  <si>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</si>
  <si>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</si>
  <si>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</si>
  <si>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</si>
  <si>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</si>
  <si>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</si>
  <si>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</si>
  <si>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</si>
  <si>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</si>
  <si>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</si>
  <si>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</si>
  <si>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</si>
  <si>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</si>
  <si>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</si>
  <si>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</si>
  <si>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</si>
  <si>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</si>
  <si>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</si>
  <si>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</si>
  <si>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</si>
  <si>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</si>
  <si>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</si>
  <si>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</si>
  <si>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</si>
  <si>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</si>
  <si>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</si>
  <si>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</si>
  <si>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</si>
  <si>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</si>
  <si>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</si>
  <si>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</si>
  <si>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</si>
  <si>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</si>
  <si>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</si>
  <si>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</si>
  <si>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</si>
  <si>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</si>
  <si>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</si>
  <si>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</si>
  <si>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</si>
  <si>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</si>
  <si>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</si>
  <si>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</si>
  <si>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</si>
  <si>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</si>
  <si>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</si>
  <si>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</si>
  <si>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</si>
  <si>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</si>
  <si>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</si>
  <si>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</si>
  <si>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</si>
  <si>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</si>
  <si>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</si>
  <si>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</si>
  <si>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</si>
  <si>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</si>
  <si>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</si>
  <si>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</si>
  <si>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</si>
  <si>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</si>
  <si>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</si>
  <si>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</si>
  <si>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</si>
  <si>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</si>
  <si>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</si>
  <si>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</si>
  <si>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</si>
  <si>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</si>
  <si>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</si>
  <si>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</si>
  <si>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</si>
  <si>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</si>
  <si>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</si>
  <si>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</si>
  <si>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</si>
  <si>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</si>
  <si>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</si>
  <si>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</si>
  <si>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</si>
  <si>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</si>
  <si>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</si>
  <si>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</si>
  <si>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</si>
  <si>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</si>
  <si>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</si>
  <si>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</si>
  <si>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</si>
  <si>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</si>
  <si>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</si>
  <si>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</si>
  <si>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</si>
  <si>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</si>
  <si>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</si>
  <si>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</si>
  <si>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</si>
  <si>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</si>
  <si>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</si>
  <si>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</si>
  <si>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</si>
  <si>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</si>
  <si>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</si>
  <si>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</si>
  <si>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</si>
  <si>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</si>
  <si>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</si>
  <si>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</si>
  <si>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</si>
  <si>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</si>
  <si>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</si>
  <si>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</si>
  <si>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</si>
  <si>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</si>
  <si>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</si>
  <si>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</si>
  <si>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</si>
  <si>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</si>
  <si>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</si>
  <si>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</si>
  <si>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</si>
  <si>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</si>
  <si>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</si>
  <si>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</si>
  <si>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</si>
  <si>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</si>
  <si>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</si>
  <si>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</si>
  <si>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</si>
  <si>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</si>
  <si>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</si>
  <si>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</si>
  <si>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</si>
  <si>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</si>
  <si>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</si>
  <si>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</si>
  <si>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</si>
  <si>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</si>
  <si>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</si>
  <si>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</si>
  <si>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</si>
  <si>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</si>
  <si>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</si>
  <si>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</si>
  <si>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</si>
  <si>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</si>
  <si>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</si>
  <si>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</si>
  <si>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</si>
  <si>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</si>
  <si>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</si>
  <si>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</si>
  <si>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</si>
  <si>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</si>
  <si>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</si>
  <si>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</si>
  <si>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</si>
  <si>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</si>
  <si>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</si>
  <si>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</si>
  <si>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</si>
  <si>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</si>
  <si>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</si>
  <si>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</si>
  <si>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</si>
  <si>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</si>
  <si>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</si>
  <si>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</si>
  <si>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</si>
  <si>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</si>
  <si>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</si>
  <si>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</si>
  <si>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</si>
  <si>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</si>
  <si>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</si>
  <si>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</si>
  <si>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</si>
  <si>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</si>
  <si>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</si>
  <si>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</si>
  <si>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</si>
  <si>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</si>
  <si>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</si>
  <si>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</si>
  <si>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</si>
  <si>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</si>
  <si>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</si>
  <si>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</si>
  <si>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</si>
  <si>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</si>
  <si>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</si>
  <si>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</si>
  <si>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</si>
  <si>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</si>
  <si>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</si>
  <si>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</si>
  <si>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</si>
  <si>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</si>
  <si>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</si>
  <si>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</si>
  <si>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</si>
  <si>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</si>
  <si>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</si>
  <si>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</si>
  <si>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</si>
  <si>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</si>
  <si>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</si>
  <si>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</si>
  <si>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</si>
  <si>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</si>
  <si>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</si>
  <si>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</si>
  <si>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</si>
  <si>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</si>
  <si>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</si>
  <si>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</si>
  <si>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</si>
  <si>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</si>
  <si>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</si>
  <si>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</si>
  <si>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</si>
  <si>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</si>
  <si>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</si>
  <si>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</si>
  <si>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</si>
  <si>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</si>
  <si>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</si>
  <si>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</si>
  <si>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</si>
  <si>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</si>
  <si>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</si>
  <si>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</si>
  <si>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</si>
  <si>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</si>
  <si>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</si>
  <si>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</si>
  <si>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</si>
  <si>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</si>
  <si>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</si>
  <si>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</si>
  <si>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</si>
  <si>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</si>
  <si>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</si>
  <si>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</si>
  <si>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</si>
  <si>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</si>
  <si>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</si>
  <si>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</si>
  <si>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</si>
  <si>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</si>
  <si>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</si>
  <si>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</si>
  <si>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</si>
  <si>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</si>
  <si>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</si>
  <si>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</si>
  <si>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</si>
  <si>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</si>
  <si>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</si>
  <si>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</si>
  <si>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</si>
  <si>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</si>
  <si>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</si>
  <si>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</si>
  <si>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</si>
  <si>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</si>
  <si>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</si>
  <si>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</si>
  <si>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</si>
  <si>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</si>
  <si>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</si>
  <si>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</si>
  <si>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</si>
  <si>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</si>
  <si>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</si>
  <si>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</si>
  <si>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</si>
  <si>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</si>
  <si>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</si>
  <si>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</si>
  <si>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</si>
  <si>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</si>
  <si>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</si>
  <si>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</si>
  <si>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</si>
  <si>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</si>
  <si>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</si>
  <si>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</si>
  <si>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</si>
  <si>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</si>
  <si>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</si>
  <si>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</si>
  <si>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</si>
  <si>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</si>
  <si>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</si>
  <si>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</si>
  <si>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</si>
  <si>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</si>
  <si>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</si>
  <si>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</si>
  <si>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</si>
  <si>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</si>
  <si>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</si>
  <si>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</si>
  <si>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</si>
  <si>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</si>
  <si>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</si>
  <si>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</si>
  <si>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</si>
  <si>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</si>
  <si>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</si>
  <si>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</si>
  <si>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</si>
  <si>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</si>
  <si>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</si>
  <si>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</si>
  <si>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</si>
  <si>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</si>
  <si>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</si>
  <si>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</si>
  <si>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</si>
  <si>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</si>
  <si>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</si>
  <si>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</si>
  <si>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</si>
  <si>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</si>
  <si>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</si>
  <si>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</si>
  <si>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</si>
  <si>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</si>
  <si>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</si>
  <si>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</si>
  <si>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</si>
  <si>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</si>
  <si>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</si>
  <si>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</si>
  <si>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</si>
  <si>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</si>
  <si>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</si>
  <si>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</si>
  <si>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</si>
  <si>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</si>
  <si>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</si>
  <si>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</si>
  <si>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</si>
  <si>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</si>
  <si>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</si>
  <si>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</si>
  <si>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</si>
  <si>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</si>
  <si>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</si>
  <si>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</si>
  <si>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</si>
  <si>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</si>
  <si>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</si>
  <si>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</si>
  <si>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</si>
  <si>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</si>
  <si>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</si>
  <si>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</si>
  <si>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</si>
  <si>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</si>
  <si>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</si>
  <si>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</si>
  <si>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</si>
  <si>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</si>
  <si>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</si>
  <si>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</si>
  <si>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</si>
  <si>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</si>
  <si>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</si>
  <si>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</si>
  <si>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</si>
  <si>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</si>
  <si>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</si>
  <si>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</si>
  <si>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</si>
  <si>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</si>
  <si>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</si>
  <si>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</si>
  <si>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</si>
  <si>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</si>
  <si>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</si>
  <si>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</si>
  <si>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</si>
  <si>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</si>
  <si>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</si>
  <si>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</si>
  <si>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</si>
  <si>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</si>
  <si>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</si>
  <si>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</si>
  <si>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</si>
  <si>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</si>
  <si>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</si>
  <si>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</si>
  <si>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</si>
  <si>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</si>
  <si>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</si>
  <si>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</si>
  <si>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</si>
  <si>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</si>
  <si>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</si>
  <si>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</si>
  <si>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</si>
  <si>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</si>
  <si>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</si>
  <si>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</si>
  <si>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</si>
  <si>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</si>
  <si>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</si>
  <si>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</si>
  <si>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</si>
  <si>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</si>
  <si>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</si>
  <si>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</si>
  <si>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</si>
  <si>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</si>
  <si>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</si>
  <si>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</si>
  <si>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</si>
  <si>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</si>
  <si>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</si>
  <si>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</si>
  <si>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</si>
  <si>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</si>
  <si>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</si>
  <si>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</si>
  <si>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</si>
  <si>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</si>
  <si>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</si>
  <si>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</si>
  <si>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</si>
  <si>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</si>
  <si>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</si>
  <si>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</si>
  <si>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</si>
  <si>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</si>
  <si>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</si>
  <si>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</si>
  <si>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</si>
  <si>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</si>
  <si>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</si>
  <si>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</si>
  <si>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</si>
  <si>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</si>
  <si>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</si>
  <si>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</si>
  <si>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</si>
  <si>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</si>
  <si>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</si>
  <si>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</si>
  <si>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</si>
  <si>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</si>
  <si>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</si>
  <si>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</si>
  <si>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</si>
  <si>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</si>
  <si>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</si>
  <si>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</si>
  <si>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</si>
  <si>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</si>
  <si>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</si>
  <si>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</si>
  <si>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</si>
  <si>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</si>
  <si>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</si>
  <si>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</si>
  <si>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</si>
  <si>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</si>
  <si>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</si>
  <si>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</si>
  <si>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</si>
  <si>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</si>
  <si>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</si>
  <si>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</si>
  <si>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</si>
  <si>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</si>
  <si>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</si>
  <si>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</si>
  <si>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</si>
  <si>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</si>
  <si>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</si>
  <si>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</si>
  <si>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</si>
  <si>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</si>
  <si>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</si>
  <si>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</si>
  <si>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</si>
  <si>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</si>
  <si>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</si>
  <si>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</si>
  <si>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</si>
  <si>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</si>
  <si>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</si>
  <si>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</si>
  <si>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</si>
  <si>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</si>
  <si>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</si>
  <si>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</si>
  <si>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</si>
  <si>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</si>
  <si>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</si>
  <si>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</si>
  <si>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</si>
  <si>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</si>
  <si>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</si>
  <si>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</si>
  <si>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</si>
  <si>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</si>
  <si>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</si>
  <si>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</si>
  <si>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</si>
  <si>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</si>
  <si>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</si>
  <si>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</si>
  <si>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</si>
  <si>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</si>
  <si>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</si>
  <si>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</si>
  <si>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</si>
  <si>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</si>
  <si>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</si>
  <si>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</si>
  <si>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</si>
  <si>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</si>
  <si>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</si>
  <si>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</si>
  <si>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</si>
  <si>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</si>
  <si>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</si>
  <si>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</si>
  <si>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</si>
  <si>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</si>
  <si>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</si>
  <si>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</si>
  <si>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</si>
  <si>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</si>
  <si>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</si>
  <si>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</si>
  <si>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</si>
  <si>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</si>
  <si>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</si>
  <si>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</si>
  <si>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</si>
  <si>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</si>
  <si>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</si>
  <si>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</si>
  <si>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</si>
  <si>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</si>
  <si>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</si>
  <si>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</si>
  <si>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</si>
  <si>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</si>
  <si>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</si>
  <si>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</si>
  <si>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</si>
  <si>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</si>
  <si>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</si>
  <si>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</si>
  <si>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</si>
  <si>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</si>
  <si>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</si>
  <si>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</si>
  <si>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</si>
  <si>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</si>
  <si>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</si>
  <si>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</si>
  <si>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</si>
  <si>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</si>
  <si>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</si>
  <si>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</si>
  <si>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</si>
  <si>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</si>
  <si>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</si>
  <si>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</si>
  <si>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</si>
  <si>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</si>
  <si>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</si>
  <si>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</si>
  <si>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</si>
  <si>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</si>
  <si>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</si>
  <si>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</si>
  <si>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</si>
  <si>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</si>
  <si>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</si>
  <si>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</si>
  <si>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</si>
  <si>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</si>
  <si>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</si>
  <si>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</si>
  <si>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</si>
  <si>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</si>
  <si>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</si>
  <si>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</si>
  <si>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</si>
  <si>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</si>
  <si>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</si>
  <si>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</si>
  <si>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</si>
  <si>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</si>
  <si>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</si>
  <si>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</si>
  <si>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</si>
  <si>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</si>
  <si>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</si>
  <si>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</si>
  <si>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</si>
  <si>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</si>
  <si>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</si>
  <si>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</si>
  <si>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</si>
  <si>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</si>
  <si>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</si>
  <si>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</si>
  <si>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</si>
  <si>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</si>
  <si>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</si>
  <si>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</si>
  <si>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</si>
  <si>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</si>
  <si>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</si>
  <si>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</si>
  <si>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</si>
  <si>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</si>
  <si>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</si>
  <si>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</si>
  <si>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</si>
  <si>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</si>
  <si>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</si>
  <si>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</si>
  <si>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</si>
  <si>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</si>
  <si>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</si>
  <si>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</si>
  <si>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</si>
  <si>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</si>
  <si>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</si>
  <si>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</si>
  <si>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</si>
  <si>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</si>
  <si>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</si>
  <si>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</si>
  <si>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</si>
  <si>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</si>
  <si>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</si>
  <si>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</si>
  <si>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</si>
  <si>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</si>
  <si>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</si>
  <si>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</si>
  <si>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</si>
  <si>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</si>
  <si>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</si>
  <si>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</si>
  <si>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</si>
  <si>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</si>
  <si>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</si>
  <si>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</si>
  <si>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</si>
  <si>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</si>
  <si>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</si>
  <si>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</si>
  <si>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</si>
  <si>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</si>
  <si>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</si>
  <si>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</si>
  <si>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</si>
  <si>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</si>
  <si>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</si>
  <si>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</si>
  <si>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</si>
  <si>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</si>
  <si>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</si>
  <si>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</si>
  <si>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</si>
  <si>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</si>
  <si>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</si>
  <si>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</si>
  <si>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</si>
  <si>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</si>
  <si>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</si>
  <si>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</si>
  <si>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</si>
  <si>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</si>
  <si>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</si>
  <si>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</si>
  <si>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</si>
  <si>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</si>
  <si>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</si>
  <si>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</si>
  <si>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</si>
  <si>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</si>
  <si>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</si>
  <si>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</si>
  <si>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</si>
  <si>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</si>
  <si>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</si>
  <si>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</si>
  <si>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</si>
  <si>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</si>
  <si>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</si>
  <si>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</si>
  <si>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</si>
  <si>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</si>
  <si>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</si>
  <si>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</si>
  <si>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</si>
  <si>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</si>
  <si>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</si>
  <si>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</si>
  <si>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</si>
  <si>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</si>
  <si>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</si>
  <si>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</si>
  <si>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</si>
  <si>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</si>
  <si>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</si>
  <si>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</si>
  <si>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</si>
  <si>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</si>
  <si>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</si>
  <si>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</si>
  <si>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</si>
  <si>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</si>
  <si>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</si>
  <si>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</si>
  <si>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</si>
  <si>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</si>
  <si>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</si>
  <si>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</si>
  <si>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</si>
  <si>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</si>
  <si>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</si>
  <si>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</si>
  <si>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</si>
  <si>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</si>
  <si>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</si>
  <si>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</si>
  <si>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</si>
  <si>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</si>
  <si>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</si>
  <si>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</si>
  <si>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</si>
  <si>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</si>
  <si>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</si>
  <si>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</si>
  <si>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</si>
  <si>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</si>
  <si>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</si>
  <si>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</si>
  <si>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</si>
  <si>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</si>
  <si>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</si>
  <si>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</si>
  <si>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</si>
  <si>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</si>
  <si>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</si>
  <si>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</si>
  <si>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</si>
  <si>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</si>
  <si>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</si>
  <si>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</si>
  <si>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</si>
  <si>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</si>
  <si>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</si>
  <si>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</si>
  <si>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</si>
  <si>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</si>
  <si>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</si>
  <si>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</si>
  <si>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</si>
  <si>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</si>
  <si>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</si>
  <si>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</si>
  <si>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</si>
  <si>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</si>
  <si>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</si>
  <si>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</si>
  <si>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</si>
  <si>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</si>
  <si>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</si>
  <si>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</si>
  <si>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</si>
  <si>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</si>
  <si>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</si>
  <si>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</si>
  <si>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</si>
  <si>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</si>
  <si>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</si>
  <si>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</si>
  <si>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</si>
  <si>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</si>
  <si>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</si>
  <si>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</si>
  <si>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</si>
  <si>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</si>
  <si>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</si>
  <si>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</si>
  <si>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</si>
  <si>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</si>
  <si>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</si>
  <si>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</si>
  <si>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</si>
  <si>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</si>
  <si>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</si>
  <si>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</si>
  <si>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</si>
  <si>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</si>
  <si>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</si>
  <si>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</si>
  <si>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</si>
  <si>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</si>
  <si>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</si>
  <si>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</si>
  <si>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</si>
  <si>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</si>
  <si>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</si>
  <si>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</si>
  <si>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</si>
  <si>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</si>
  <si>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</si>
  <si>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</si>
  <si>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</si>
  <si>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</si>
  <si>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</si>
  <si>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</si>
  <si>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</si>
  <si>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</si>
  <si>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</si>
  <si>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</si>
  <si>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</si>
  <si>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</si>
  <si>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</si>
  <si>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</si>
  <si>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</si>
  <si>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</si>
  <si>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</si>
  <si>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</si>
  <si>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</si>
  <si>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</si>
  <si>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</si>
  <si>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</si>
  <si>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</si>
  <si>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</si>
  <si>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</si>
  <si>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</si>
  <si>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</si>
  <si>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</si>
  <si>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</si>
  <si>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</si>
  <si>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</si>
  <si>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</si>
  <si>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</si>
  <si>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</si>
  <si>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</si>
  <si>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</si>
  <si>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</si>
  <si>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</si>
  <si>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</si>
  <si>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</si>
  <si>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</si>
  <si>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</si>
  <si>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</si>
  <si>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</si>
  <si>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</si>
  <si>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</si>
  <si>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</si>
  <si>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</si>
  <si>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</si>
  <si>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</si>
  <si>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</si>
  <si>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</si>
  <si>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</si>
  <si>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</si>
  <si>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</si>
  <si>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</si>
  <si>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</si>
  <si>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</si>
  <si>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</si>
  <si>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</si>
  <si>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</si>
  <si>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</si>
  <si>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</si>
  <si>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</si>
  <si>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</si>
  <si>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</si>
  <si>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</si>
  <si>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</si>
  <si>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</si>
  <si>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</si>
  <si>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</si>
  <si>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</si>
  <si>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</si>
  <si>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</si>
  <si>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</si>
  <si>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</si>
  <si>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</si>
  <si>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</si>
  <si>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</si>
  <si>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</si>
  <si>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</si>
  <si>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</si>
  <si>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</si>
  <si>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</si>
  <si>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</si>
  <si>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</si>
  <si>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</si>
  <si>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</si>
  <si>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</si>
  <si>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</si>
  <si>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</si>
  <si>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</si>
  <si>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</si>
  <si>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</si>
  <si>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</si>
  <si>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</si>
  <si>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</si>
  <si>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</si>
  <si>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</si>
  <si>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</si>
  <si>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</si>
  <si>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</si>
  <si>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</si>
  <si>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</si>
  <si>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</si>
  <si>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</si>
  <si>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</si>
  <si>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</si>
  <si>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</si>
  <si>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</si>
  <si>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</si>
  <si>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</si>
  <si>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</si>
  <si>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</si>
  <si>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</si>
  <si>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</si>
  <si>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</si>
  <si>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</si>
  <si>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</si>
  <si>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</si>
  <si>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</si>
  <si>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</si>
  <si>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</si>
  <si>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</si>
  <si>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</si>
  <si>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</si>
  <si>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</si>
  <si>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</si>
  <si>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</si>
  <si>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</si>
  <si>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</si>
  <si>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</si>
  <si>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</si>
  <si>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</si>
  <si>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</si>
  <si>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</si>
  <si>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</si>
  <si>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</si>
  <si>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</si>
  <si>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</si>
  <si>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</si>
  <si>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</si>
  <si>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</si>
  <si>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</si>
  <si>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</si>
  <si>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</si>
  <si>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</si>
  <si>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</si>
  <si>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</si>
  <si>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</si>
  <si>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</si>
  <si>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</si>
  <si>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</si>
  <si>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</si>
  <si>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</si>
  <si>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</si>
  <si>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</si>
  <si>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</si>
  <si>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</si>
  <si>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</si>
  <si>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</si>
  <si>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</si>
  <si>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</si>
  <si>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</si>
  <si>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</si>
  <si>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</si>
  <si>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</si>
  <si>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</si>
  <si>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</si>
  <si>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</si>
  <si>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</si>
  <si>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</si>
  <si>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</si>
  <si>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</si>
  <si>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</si>
  <si>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</si>
  <si>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</si>
  <si>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</si>
  <si>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</si>
  <si>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</si>
  <si>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</si>
  <si>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</si>
  <si>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</si>
  <si>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</si>
  <si>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</si>
  <si>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</si>
  <si>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</si>
  <si>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</si>
  <si>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</si>
  <si>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</si>
  <si>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</si>
  <si>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</si>
  <si>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</si>
  <si>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</si>
  <si>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</si>
  <si>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</si>
  <si>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</si>
  <si>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</si>
  <si>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</si>
  <si>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</si>
  <si>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</si>
  <si>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</si>
  <si>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</si>
  <si>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</si>
  <si>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</si>
  <si>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</si>
  <si>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</si>
  <si>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</si>
  <si>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</si>
  <si>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</si>
  <si>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</si>
  <si>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</si>
  <si>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</si>
  <si>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</si>
  <si>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</si>
  <si>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</si>
  <si>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</si>
  <si>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</si>
  <si>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</si>
  <si>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</si>
  <si>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</si>
  <si>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</si>
  <si>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</si>
  <si>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</si>
  <si>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</si>
  <si>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</si>
  <si>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</si>
  <si>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</si>
  <si>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</si>
  <si>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</si>
  <si>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</si>
  <si>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</si>
  <si>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</si>
  <si>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</si>
  <si>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</si>
  <si>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</si>
  <si>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</si>
  <si>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</si>
  <si>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</si>
  <si>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</si>
  <si>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</si>
  <si>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</si>
  <si>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</si>
  <si>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</si>
  <si>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</si>
  <si>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</si>
  <si>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</si>
  <si>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</si>
  <si>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</si>
  <si>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</si>
  <si>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</si>
  <si>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</si>
  <si>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</si>
  <si>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</si>
  <si>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</si>
  <si>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</si>
  <si>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</si>
  <si>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</si>
  <si>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</si>
  <si>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</si>
  <si>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</si>
  <si>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</si>
  <si>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</si>
  <si>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</si>
  <si>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</si>
  <si>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</si>
  <si>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</si>
  <si>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</si>
  <si>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</si>
  <si>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</si>
  <si>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</si>
  <si>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</si>
  <si>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</si>
  <si>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</si>
  <si>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</si>
  <si>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</si>
  <si>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</si>
  <si>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</si>
  <si>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</si>
  <si>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</si>
  <si>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</si>
  <si>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</si>
  <si>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</si>
  <si>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</si>
  <si>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</si>
  <si>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</si>
  <si>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</si>
  <si>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</si>
  <si>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</si>
  <si>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</si>
  <si>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</si>
  <si>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</si>
  <si>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</si>
  <si>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</si>
  <si>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</si>
  <si>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</si>
  <si>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</si>
  <si>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</si>
  <si>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</si>
  <si>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</si>
  <si>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</si>
  <si>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</si>
  <si>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</si>
  <si>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</si>
  <si>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</si>
  <si>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</si>
  <si>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</si>
  <si>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</si>
  <si>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</si>
  <si>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</si>
  <si>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</si>
  <si>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</si>
  <si>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</si>
  <si>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</si>
  <si>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</si>
  <si>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</si>
  <si>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</si>
  <si>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</si>
  <si>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</si>
  <si>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</si>
  <si>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</si>
  <si>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</si>
  <si>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</si>
  <si>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</si>
  <si>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</si>
  <si>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</si>
  <si>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</si>
  <si>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</si>
  <si>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</si>
  <si>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</si>
  <si>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</si>
  <si>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</si>
  <si>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</si>
  <si>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</si>
  <si>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</si>
  <si>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</si>
  <si>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</si>
  <si>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</si>
  <si>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</si>
  <si>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</si>
  <si>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</si>
  <si>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</si>
  <si>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</si>
  <si>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</si>
  <si>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</si>
  <si>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</si>
  <si>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</si>
  <si>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</si>
  <si>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</si>
  <si>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</si>
  <si>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</si>
  <si>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</si>
  <si>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</si>
  <si>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</si>
  <si>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</si>
  <si>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</si>
  <si>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</si>
  <si>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</si>
  <si>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</si>
  <si>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</si>
  <si>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</si>
  <si>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</si>
  <si>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</si>
  <si>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</si>
  <si>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</si>
  <si>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</si>
  <si>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</si>
  <si>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</si>
  <si>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</si>
  <si>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</si>
  <si>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</si>
  <si>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</si>
  <si>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</si>
  <si>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</si>
  <si>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</si>
  <si>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</si>
  <si>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</si>
  <si>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</si>
  <si>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</si>
  <si>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</si>
  <si>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</si>
  <si>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</si>
  <si>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</si>
  <si>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</si>
  <si>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</si>
  <si>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</si>
  <si>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</si>
  <si>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</si>
  <si>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</si>
  <si>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</si>
  <si>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</si>
  <si>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</si>
  <si>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</si>
  <si>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</si>
  <si>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</si>
  <si>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</si>
  <si>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</si>
  <si>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</si>
  <si>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</si>
  <si>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</si>
  <si>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</si>
  <si>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</si>
  <si>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</si>
  <si>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</si>
  <si>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</si>
  <si>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</si>
  <si>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</si>
  <si>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</si>
  <si>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</si>
  <si>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</si>
  <si>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</si>
  <si>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</si>
  <si>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</si>
  <si>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</si>
  <si>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</si>
  <si>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</si>
  <si>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</si>
  <si>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</si>
  <si>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</si>
  <si>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</si>
  <si>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</si>
  <si>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</si>
  <si>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</si>
  <si>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</si>
  <si>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</si>
  <si>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</si>
  <si>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</si>
  <si>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</si>
  <si>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</si>
  <si>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</si>
  <si>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</si>
  <si>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</si>
  <si>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</si>
  <si>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</si>
  <si>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</si>
  <si>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</si>
  <si>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</si>
  <si>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</si>
  <si>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</si>
  <si>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</si>
  <si>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</si>
  <si>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</si>
  <si>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</si>
  <si>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</si>
  <si>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</si>
  <si>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</si>
  <si>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</si>
  <si>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</si>
  <si>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</si>
  <si>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</si>
  <si>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</si>
  <si>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</si>
  <si>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</si>
  <si>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</si>
  <si>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</si>
  <si>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</si>
  <si>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</si>
  <si>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</si>
  <si>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</si>
  <si>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</si>
  <si>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</si>
  <si>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</si>
  <si>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</si>
  <si>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</si>
  <si>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</si>
  <si>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</si>
  <si>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</si>
  <si>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</si>
  <si>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</si>
  <si>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</si>
  <si>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</si>
  <si>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</si>
  <si>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</si>
  <si>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</si>
  <si>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</si>
  <si>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</si>
  <si>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</si>
  <si>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</si>
  <si>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</si>
  <si>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</si>
  <si>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</si>
  <si>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</si>
  <si>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</si>
  <si>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</si>
  <si>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</si>
  <si>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</si>
  <si>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</si>
  <si>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</si>
  <si>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</si>
  <si>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</si>
  <si>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</si>
  <si>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</si>
  <si>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</si>
  <si>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</si>
  <si>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</si>
  <si>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</si>
  <si>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</si>
  <si>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</si>
  <si>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</si>
  <si>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</si>
  <si>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</si>
  <si>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</si>
  <si>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</si>
  <si>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</si>
  <si>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</si>
  <si>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</si>
  <si>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</si>
  <si>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</si>
  <si>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</si>
  <si>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</si>
  <si>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</si>
  <si>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</si>
  <si>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</si>
  <si>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</si>
  <si>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</si>
  <si>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</si>
  <si>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</si>
  <si>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</si>
  <si>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</si>
  <si>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</si>
  <si>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</si>
  <si>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</si>
  <si>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</si>
  <si>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</si>
  <si>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</si>
  <si>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</si>
  <si>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</si>
  <si>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</si>
  <si>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</si>
  <si>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</si>
  <si>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</si>
  <si>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</si>
  <si>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</si>
  <si>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</si>
  <si>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</si>
  <si>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</si>
  <si>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</si>
  <si>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</si>
  <si>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</si>
  <si>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</si>
  <si>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</si>
  <si>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</si>
  <si>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</si>
  <si>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</si>
  <si>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</si>
  <si>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</si>
  <si>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</si>
  <si>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</si>
  <si>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</si>
  <si>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</si>
  <si>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</si>
  <si>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</si>
  <si>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</si>
  <si>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</si>
  <si>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</si>
  <si>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</si>
  <si>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</si>
  <si>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</si>
  <si>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</si>
  <si>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</si>
  <si>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</si>
  <si>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</si>
  <si>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</si>
  <si>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</si>
  <si>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</si>
  <si>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</si>
  <si>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</si>
  <si>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</si>
  <si>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</si>
  <si>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</si>
  <si>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</si>
  <si>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</si>
  <si>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</si>
  <si>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</si>
  <si>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</si>
  <si>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</si>
  <si>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</si>
  <si>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</si>
  <si>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</si>
  <si>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</si>
  <si>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</si>
  <si>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</si>
  <si>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</si>
  <si>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</si>
  <si>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</si>
  <si>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</si>
  <si>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</si>
  <si>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</si>
  <si>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</si>
  <si>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</si>
  <si>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</si>
  <si>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</si>
  <si>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</si>
  <si>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</si>
  <si>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</si>
  <si>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</si>
  <si>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</si>
  <si>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</si>
  <si>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</si>
  <si>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</si>
  <si>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</si>
  <si>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</si>
  <si>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</si>
  <si>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</si>
  <si>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</si>
  <si>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</si>
  <si>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</si>
  <si>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</si>
  <si>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</si>
  <si>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</si>
  <si>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</si>
  <si>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</si>
  <si>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</si>
  <si>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</si>
  <si>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</si>
  <si>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</si>
  <si>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</si>
  <si>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</si>
  <si>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</si>
  <si>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</si>
  <si>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</si>
  <si>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</si>
  <si>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</si>
  <si>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</si>
  <si>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</si>
  <si>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</si>
  <si>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</si>
  <si>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</si>
  <si>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</si>
  <si>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</si>
  <si>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</si>
  <si>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</si>
  <si>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</si>
  <si>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</si>
  <si>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</si>
  <si>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</si>
  <si>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</si>
  <si>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</si>
  <si>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</si>
  <si>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</si>
  <si>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</si>
  <si>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</si>
  <si>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</si>
  <si>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</si>
  <si>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</si>
  <si>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</si>
  <si>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</si>
  <si>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</si>
  <si>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</si>
  <si>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</si>
  <si>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</si>
  <si>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</si>
  <si>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</si>
  <si>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</si>
  <si>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</si>
  <si>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</si>
  <si>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</si>
  <si>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</si>
  <si>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</si>
  <si>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</si>
  <si>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</si>
  <si>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</si>
  <si>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</si>
  <si>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</si>
  <si>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</si>
  <si>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</si>
  <si>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</si>
  <si>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</si>
  <si>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</si>
  <si>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</si>
  <si>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</si>
  <si>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</si>
  <si>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</si>
  <si>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</si>
  <si>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</si>
  <si>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</si>
  <si>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</si>
  <si>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</si>
  <si>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</si>
  <si>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</si>
  <si>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</si>
  <si>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</si>
  <si>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</si>
  <si>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</si>
  <si>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</si>
  <si>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</si>
  <si>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</si>
  <si>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</si>
  <si>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</si>
  <si>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</si>
  <si>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</si>
  <si>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</si>
  <si>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</si>
  <si>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</si>
  <si>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</si>
  <si>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</si>
  <si>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</si>
  <si>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</si>
  <si>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</si>
  <si>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</si>
  <si>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</si>
  <si>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</si>
  <si>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</si>
  <si>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</si>
  <si>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</si>
  <si>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</si>
  <si>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</si>
  <si>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</si>
  <si>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</si>
  <si>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</si>
  <si>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</si>
  <si>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</si>
  <si>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</si>
  <si>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</si>
  <si>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</si>
  <si>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</si>
  <si>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</si>
  <si>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</si>
  <si>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</si>
  <si>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</si>
  <si>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</si>
  <si>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</si>
  <si>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</si>
  <si>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</si>
  <si>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</si>
  <si>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</si>
  <si>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</si>
  <si>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</si>
  <si>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</si>
  <si>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</si>
  <si>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</si>
  <si>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</si>
  <si>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</si>
  <si>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</si>
  <si>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</si>
  <si>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</si>
  <si>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</si>
  <si>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</si>
  <si>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</si>
  <si>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</si>
  <si>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</si>
  <si>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</si>
  <si>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</si>
  <si>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</si>
  <si>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</si>
  <si>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</si>
  <si>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</si>
  <si>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</si>
  <si>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</si>
  <si>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</si>
  <si>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</si>
  <si>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</si>
  <si>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</si>
  <si>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</si>
  <si>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</si>
  <si>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</si>
  <si>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</si>
  <si>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</si>
  <si>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</si>
  <si>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</si>
  <si>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</si>
  <si>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</si>
  <si>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</si>
  <si>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</si>
  <si>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</si>
  <si>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</si>
  <si>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</si>
  <si>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</si>
  <si>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</si>
  <si>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</si>
  <si>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</si>
  <si>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</si>
  <si>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</si>
  <si>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</si>
  <si>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</si>
  <si>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</si>
  <si>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</si>
  <si>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</si>
  <si>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</si>
  <si>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</si>
  <si>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</si>
  <si>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</si>
  <si>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</si>
  <si>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</si>
  <si>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</si>
  <si>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</si>
  <si>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</si>
  <si>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</si>
  <si>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</si>
  <si>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</si>
  <si>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</si>
  <si>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</si>
  <si>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</si>
  <si>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</si>
  <si>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</si>
  <si>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</si>
  <si>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</si>
  <si>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</si>
  <si>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</si>
  <si>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</si>
  <si>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</si>
  <si>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</si>
  <si>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</si>
  <si>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</si>
  <si>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</si>
  <si>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</si>
  <si>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</si>
  <si>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</si>
  <si>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</si>
  <si>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</si>
  <si>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</si>
  <si>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</si>
  <si>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</si>
  <si>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</si>
  <si>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</si>
  <si>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</si>
  <si>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</si>
  <si>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</si>
  <si>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</si>
  <si>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</si>
  <si>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</si>
  <si>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</si>
  <si>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</si>
  <si>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</si>
  <si>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</si>
  <si>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</si>
  <si>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</si>
  <si>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</si>
  <si>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</si>
  <si>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</si>
  <si>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</si>
  <si>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</si>
  <si>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</si>
  <si>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</si>
  <si>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</si>
  <si>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</si>
  <si>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</si>
  <si>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</si>
  <si>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</si>
  <si>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</si>
  <si>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</si>
  <si>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</si>
  <si>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</si>
  <si>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</si>
  <si>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</si>
  <si>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</si>
  <si>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</si>
  <si>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</si>
  <si>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</si>
  <si>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</si>
  <si>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</si>
  <si>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</si>
  <si>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</si>
  <si>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</si>
  <si>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</si>
  <si>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</si>
  <si>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</si>
  <si>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</si>
  <si>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</si>
  <si>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</si>
  <si>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</si>
  <si>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</si>
  <si>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</si>
  <si>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</si>
  <si>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</si>
  <si>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</si>
  <si>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</si>
  <si>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</si>
  <si>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</si>
  <si>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</si>
  <si>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</si>
  <si>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</si>
  <si>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</si>
  <si>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</si>
  <si>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</si>
  <si>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</si>
  <si>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</si>
  <si>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</si>
  <si>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</si>
  <si>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</si>
  <si>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</si>
  <si>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</si>
  <si>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</si>
  <si>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</si>
  <si>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</si>
  <si>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</si>
  <si>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</si>
  <si>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</si>
  <si>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</si>
  <si>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</si>
  <si>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</si>
  <si>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</si>
  <si>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</si>
  <si>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</si>
  <si>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</si>
  <si>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</si>
  <si>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</si>
  <si>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</si>
  <si>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</si>
  <si>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</si>
  <si>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</si>
  <si>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</si>
  <si>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</si>
  <si>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</si>
  <si>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</si>
  <si>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</si>
  <si>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</si>
  <si>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</si>
  <si>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</si>
  <si>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</si>
  <si>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</si>
  <si>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</si>
  <si>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</si>
  <si>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</si>
  <si>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</si>
  <si>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</si>
  <si>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</si>
  <si>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</si>
  <si>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</si>
  <si>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</si>
  <si>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</si>
  <si>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</si>
  <si>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</si>
  <si>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</si>
  <si>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</si>
  <si>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</si>
  <si>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</si>
  <si>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</si>
  <si>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</si>
  <si>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</si>
  <si>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</si>
  <si>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</si>
  <si>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</si>
  <si>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</si>
  <si>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</si>
  <si>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</si>
  <si>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</si>
  <si>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</si>
  <si>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</si>
  <si>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</si>
  <si>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</si>
  <si>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</si>
  <si>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</si>
  <si>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</si>
  <si>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</si>
  <si>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</si>
  <si>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</si>
  <si>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</si>
  <si>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</si>
  <si>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</si>
  <si>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</si>
  <si>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</si>
  <si>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</si>
  <si>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</si>
  <si>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</si>
  <si>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</si>
  <si>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</si>
  <si>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</si>
  <si>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</si>
  <si>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</si>
  <si>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</si>
  <si>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</si>
  <si>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</si>
  <si>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</si>
  <si>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</si>
  <si>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</si>
  <si>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</si>
  <si>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</si>
  <si>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</si>
  <si>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</si>
  <si>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</si>
  <si>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</si>
  <si>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</si>
  <si>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</si>
  <si>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</si>
  <si>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</si>
  <si>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</si>
  <si>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</si>
  <si>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</si>
  <si>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</si>
  <si>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</si>
  <si>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</si>
  <si>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</si>
  <si>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</si>
  <si>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</si>
  <si>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</si>
  <si>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</si>
  <si>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</si>
  <si>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</si>
  <si>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</si>
  <si>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</si>
  <si>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</si>
  <si>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</si>
  <si>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</si>
  <si>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</si>
  <si>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</si>
  <si>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</si>
  <si>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CRUZZINI</t>
  </si>
  <si>
    <t xml:space="preserve">CRUZINI A AZZANA</t>
  </si>
  <si>
    <t xml:space="preserve">06215850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</si>
  <si>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</si>
  <si>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</si>
  <si>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</si>
  <si>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</si>
  <si>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</si>
  <si>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</si>
  <si>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</si>
  <si>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</si>
  <si>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pl.courant</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</si>
  <si>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</si>
  <si>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</si>
  <si>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</si>
  <si>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</si>
  <si>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</si>
  <si>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</si>
  <si>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</si>
  <si>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</si>
  <si>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</si>
  <si>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</si>
  <si>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</si>
  <si>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</si>
  <si>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</si>
  <si>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</si>
  <si>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</si>
  <si>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</si>
  <si>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</si>
  <si>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</si>
  <si>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</si>
  <si>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</si>
  <si>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</si>
  <si>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</si>
  <si>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</si>
  <si>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</si>
  <si>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</si>
  <si>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</si>
  <si>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</si>
  <si>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</si>
  <si>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</si>
  <si>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</si>
  <si>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</si>
  <si>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</si>
  <si>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</si>
  <si>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</si>
  <si>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</si>
  <si>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</si>
  <si>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</si>
  <si>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</si>
  <si>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</si>
  <si>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</si>
  <si>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</si>
  <si>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</si>
  <si>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</si>
  <si>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</si>
  <si>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</si>
  <si>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</si>
  <si>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</si>
  <si>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</si>
  <si>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</si>
  <si>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</si>
  <si>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</si>
  <si>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</si>
  <si>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</si>
  <si>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</si>
  <si>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</si>
  <si>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</si>
  <si>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</si>
  <si>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</si>
  <si>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</si>
  <si>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NEWCOD</t>
  </si>
  <si>
    <t xml:space="preserve">Tabellaria sp.</t>
  </si>
  <si>
    <t xml:space="preserve">Hyalotheca sp.</t>
  </si>
  <si>
    <t xml:space="preserve">Cf.</t>
  </si>
  <si>
    <t xml:space="preserve">Dichothrix sp.</t>
  </si>
  <si>
    <t xml:space="preserve">Coleochaete sp.</t>
  </si>
  <si>
    <t xml:space="preserve">Klebsormidium sp.</t>
  </si>
  <si>
    <t xml:space="preserve">Coleodesmium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</si>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</sst>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42917</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13.0588235294118</v>
      </c>
      <c r="N5" s="327"/>
      <c r="O5" s="328" t="s">
        <v>65</v>
      </c>
      <c r="P5" s="329" t="n">
        <v>12.1538461538462</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90</v>
      </c>
      <c r="C7" s="345" t="n">
        <v>10</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12.5</v>
      </c>
      <c r="P8" s="359" t="n">
        <f aca="false">IF(ISERROR(AVERAGE(K23:K82)),"  ",AVERAGE(K23:K82))</f>
        <v>1.875</v>
      </c>
      <c r="Q8" s="360"/>
      <c r="R8" s="285"/>
      <c r="S8" s="285"/>
      <c r="T8" s="285"/>
      <c r="U8" s="285"/>
      <c r="V8" s="285"/>
      <c r="W8" s="299"/>
    </row>
    <row r="9" customFormat="false" ht="12.75" hidden="false" customHeight="false" outlineLevel="0" collapsed="false">
      <c r="A9" s="317" t="s">
        <v>3399</v>
      </c>
      <c r="B9" s="344" t="n">
        <v>1</v>
      </c>
      <c r="C9" s="345" t="n">
        <v>2</v>
      </c>
      <c r="D9" s="361"/>
      <c r="E9" s="361"/>
      <c r="F9" s="362" t="n">
        <f aca="false">($B9*$B$7+$C9*$C$7)/100</f>
        <v>1.1</v>
      </c>
      <c r="G9" s="363"/>
      <c r="H9" s="320"/>
      <c r="I9" s="285"/>
      <c r="J9" s="364"/>
      <c r="K9" s="365"/>
      <c r="L9" s="350"/>
      <c r="M9" s="366"/>
      <c r="N9" s="358" t="s">
        <v>3400</v>
      </c>
      <c r="O9" s="359" t="n">
        <f aca="false">IF(ISERROR(STDEVP(J23:J82))," ",STDEVP(J23:J82))</f>
        <v>3.04138126514911</v>
      </c>
      <c r="P9" s="359" t="n">
        <f aca="false">IF(ISERROR(STDEVP(K23:K82)),"  ",STDEVP(K23:K82))</f>
        <v>0.330718913883074</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7</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2</v>
      </c>
      <c r="M13" s="382"/>
      <c r="N13" s="390" t="s">
        <v>3412</v>
      </c>
      <c r="O13" s="391" t="n">
        <f aca="false">COUNTIF(F23:F82,"&gt;0")</f>
        <v>15</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8</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1</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7</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0.933333333333333</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0.98</v>
      </c>
      <c r="C20" s="434" t="n">
        <f aca="false">SUM(C23:C82)</f>
        <v>1.67</v>
      </c>
      <c r="D20" s="435"/>
      <c r="E20" s="436" t="s">
        <v>3425</v>
      </c>
      <c r="F20" s="437" t="n">
        <f aca="false">($B20*$B$7+$C20*$C$7)/100</f>
        <v>1.049</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0.882</v>
      </c>
      <c r="C21" s="445" t="n">
        <f aca="false">C20*C7/100</f>
        <v>0.167</v>
      </c>
      <c r="D21" s="446" t="s">
        <v>3428</v>
      </c>
      <c r="E21" s="447"/>
      <c r="F21" s="448" t="n">
        <f aca="false">B21+C21</f>
        <v>1.049</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53</v>
      </c>
      <c r="B23" s="474" t="n">
        <v>0.1</v>
      </c>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n">
        <f aca="false">IF(AND(OR(A23="",A23="!!!!!!"),B23="",C23=""),"",IF(OR(AND(B23="",C23=""),ISERROR(C23+B23)),"!!!",($B23*$B$7+$C23*$C$7)/100))</f>
        <v>0.09</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0.09</v>
      </c>
      <c r="S23" s="487" t="n">
        <f aca="false">IF(OR(ISTEXT(H23),R23=0),"",IF(R23&lt;0.1,1,IF(R23&lt;1,2,IF(R23&lt;10,3,IF(R23&lt;50,4,IF(R23&gt;=50,5,""))))))</f>
        <v>1</v>
      </c>
      <c r="T23" s="487" t="n">
        <f aca="false">IF(ISERROR(S23*J23),0,S23*J23)</f>
        <v>13</v>
      </c>
      <c r="U23" s="487" t="n">
        <f aca="false">IF(ISERROR(S23*J23*K23),0,S23*J23*K23)</f>
        <v>26</v>
      </c>
      <c r="V23" s="487" t="n">
        <f aca="false">IF(ISERROR(S23*K23),0,S23*K23)</f>
        <v>2</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t="s">
        <v>65</v>
      </c>
      <c r="B24" s="491" t="n">
        <v>0.1</v>
      </c>
      <c r="C24" s="492" t="n">
        <v>0.1</v>
      </c>
      <c r="D24" s="493" t="str">
        <f aca="false">IF(ISERROR(VLOOKUP($A24,'liste reference'!$A$6:$B$1174,2,0)),IF(ISERROR(VLOOKUP($A24,'liste reference'!$B$6:$B$1174,1,0)),"",VLOOKUP($A24,'liste reference'!$B$6:$B$1174,1,0)),VLOOKUP($A24,'liste reference'!$A$6:$B$1174,2,0))</f>
        <v>Batrachospermum sp.</v>
      </c>
      <c r="E24" s="494" t="e">
        <f aca="false">IF(D24="",,VLOOKUP(D24,D$22:D23,1,0))</f>
        <v>#N/A</v>
      </c>
      <c r="F24" s="495" t="n">
        <f aca="false">IF(AND(OR(A24="",A24="!!!!!!"),B24="",C24=""),"",IF(OR(AND(B24="",C24=""),ISERROR(C24+B24)),"!!!",($B24*$B$7+$C24*$C$7)/100))</f>
        <v>0.1</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16</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Batrachospermum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1155</v>
      </c>
      <c r="R24" s="486" t="n">
        <f aca="false">IF(ISTEXT(H24),"",(B24*$B$7/100)+(C24*$C$7/100))</f>
        <v>0.1</v>
      </c>
      <c r="S24" s="487" t="n">
        <f aca="false">IF(OR(ISTEXT(H24),R24=0),"",IF(R24&lt;0.1,1,IF(R24&lt;1,2,IF(R24&lt;10,3,IF(R24&lt;50,4,IF(R24&gt;=50,5,""))))))</f>
        <v>2</v>
      </c>
      <c r="T24" s="487" t="n">
        <f aca="false">IF(ISERROR(S24*J24),0,S24*J24)</f>
        <v>32</v>
      </c>
      <c r="U24" s="487" t="n">
        <f aca="false">IF(ISERROR(S24*J24*K24),0,S24*J24*K24)</f>
        <v>64</v>
      </c>
      <c r="V24" s="502" t="n">
        <f aca="false">IF(ISERROR(S24*K24),0,S24*K24)</f>
        <v>4</v>
      </c>
      <c r="W24" s="503"/>
      <c r="X24" s="504"/>
      <c r="Y24" s="487" t="str">
        <f aca="false">IF(AND(ISNUMBER(F24),OR(A24="",A24="!!!!!!")),"!!!!!!",IF(A24="new.cod","NEWCOD",IF(AND((Z24=""),ISTEXT(A24),A24&lt;&gt;"!!!!!!"),A24,IF(Z24="","",INDEX('liste reference'!$A$6:$A$1174,Z24)))))</f>
        <v>BATSPX</v>
      </c>
      <c r="Z24" s="472" t="n">
        <f aca="false">IF(ISERROR(MATCH(A24,'liste reference'!$A$6:$A$1174,0)),IF(ISERROR(MATCH(A24,'liste reference'!$B$6:$B$1174,0)),"",(MATCH(A24,'liste reference'!$B$6:$B$1174,0))),(MATCH(A24,'liste reference'!$A$6:$A$1174,0)))</f>
        <v>10</v>
      </c>
    </row>
    <row r="25" customFormat="false" ht="12.75" hidden="false" customHeight="false" outlineLevel="0" collapsed="false">
      <c r="A25" s="490" t="s">
        <v>78</v>
      </c>
      <c r="B25" s="491" t="n">
        <v>0.05</v>
      </c>
      <c r="C25" s="492" t="n">
        <v>0.2</v>
      </c>
      <c r="D25" s="493" t="str">
        <f aca="false">IF(ISERROR(VLOOKUP($A25,'liste reference'!$A$6:$B$1174,2,0)),IF(ISERROR(VLOOKUP($A25,'liste reference'!$B$6:$B$1174,1,0)),"",VLOOKUP($A25,'liste reference'!$B$6:$B$1174,1,0)),VLOOKUP($A25,'liste reference'!$A$6:$B$1174,2,0))</f>
        <v>Chaetophora sp.</v>
      </c>
      <c r="E25" s="494" t="e">
        <f aca="false">IF(D25="",,VLOOKUP(D25,D$22:D24,1,0))</f>
        <v>#N/A</v>
      </c>
      <c r="F25" s="495" t="n">
        <f aca="false">IF(AND(OR(A25="",A25="!!!!!!"),B25="",C25=""),"",IF(OR(AND(B25="",C25=""),ISERROR(C25+B25)),"!!!",($B25*$B$7+$C25*$C$7)/100))</f>
        <v>0.065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12</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Chaetophora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1117</v>
      </c>
      <c r="R25" s="486" t="n">
        <f aca="false">IF(ISTEXT(H25),"",(B25*$B$7/100)+(C25*$C$7/100))</f>
        <v>0.065</v>
      </c>
      <c r="S25" s="487" t="n">
        <f aca="false">IF(OR(ISTEXT(H25),R25=0),"",IF(R25&lt;0.1,1,IF(R25&lt;1,2,IF(R25&lt;10,3,IF(R25&lt;50,4,IF(R25&gt;=50,5,""))))))</f>
        <v>1</v>
      </c>
      <c r="T25" s="487" t="n">
        <f aca="false">IF(ISERROR(S25*J25),0,S25*J25)</f>
        <v>12</v>
      </c>
      <c r="U25" s="487" t="n">
        <f aca="false">IF(ISERROR(S25*J25*K25),0,S25*J25*K25)</f>
        <v>24</v>
      </c>
      <c r="V25" s="502" t="n">
        <f aca="false">IF(ISERROR(S25*K25),0,S25*K25)</f>
        <v>2</v>
      </c>
      <c r="W25" s="503"/>
      <c r="X25" s="504"/>
      <c r="Y25" s="487" t="str">
        <f aca="false">IF(AND(ISNUMBER(F25),OR(A25="",A25="!!!!!!")),"!!!!!!",IF(A25="new.cod","NEWCOD",IF(AND((Z25=""),ISTEXT(A25),A25&lt;&gt;"!!!!!!"),A25,IF(Z25="","",INDEX('liste reference'!$A$6:$A$1174,Z25)))))</f>
        <v>CHESPX</v>
      </c>
      <c r="Z25" s="472" t="n">
        <f aca="false">IF(ISERROR(MATCH(A25,'liste reference'!$A$6:$A$1174,0)),IF(ISERROR(MATCH(A25,'liste reference'!$B$6:$B$1174,0)),"",(MATCH(A25,'liste reference'!$B$6:$B$1174,0))),(MATCH(A25,'liste reference'!$A$6:$A$1174,0)))</f>
        <v>14</v>
      </c>
    </row>
    <row r="26" customFormat="false" ht="12.75" hidden="false" customHeight="false" outlineLevel="0" collapsed="false">
      <c r="A26" s="490" t="s">
        <v>217</v>
      </c>
      <c r="B26" s="491" t="n">
        <v>0.01</v>
      </c>
      <c r="C26" s="492"/>
      <c r="D26" s="493" t="str">
        <f aca="false">IF(ISERROR(VLOOKUP($A26,'liste reference'!$A$6:$B$1174,2,0)),IF(ISERROR(VLOOKUP($A26,'liste reference'!$B$6:$B$1174,1,0)),"",VLOOKUP($A26,'liste reference'!$B$6:$B$1174,1,0)),VLOOKUP($A26,'liste reference'!$A$6:$B$1174,2,0))</f>
        <v>Lemanea sp.</v>
      </c>
      <c r="E26" s="494" t="e">
        <f aca="false">IF(D26="",,VLOOKUP(D26,D$22:D25,1,0))</f>
        <v>#N/A</v>
      </c>
      <c r="F26" s="495" t="n">
        <f aca="false">IF(AND(OR(A26="",A26="!!!!!!"),B26="",C26=""),"",IF(OR(AND(B26="",C26=""),ISERROR(C26+B26)),"!!!",($B26*$B$7+$C26*$C$7)/100))</f>
        <v>0.009</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15</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Lemanea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1159</v>
      </c>
      <c r="R26" s="486" t="n">
        <f aca="false">IF(ISTEXT(H26),"",(B26*$B$7/100)+(C26*$C$7/100))</f>
        <v>0.009</v>
      </c>
      <c r="S26" s="487" t="n">
        <f aca="false">IF(OR(ISTEXT(H26),R26=0),"",IF(R26&lt;0.1,1,IF(R26&lt;1,2,IF(R26&lt;10,3,IF(R26&lt;50,4,IF(R26&gt;=50,5,""))))))</f>
        <v>1</v>
      </c>
      <c r="T26" s="487" t="n">
        <f aca="false">IF(ISERROR(S26*J26),0,S26*J26)</f>
        <v>15</v>
      </c>
      <c r="U26" s="487" t="n">
        <f aca="false">IF(ISERROR(S26*J26*K26),0,S26*J26*K26)</f>
        <v>30</v>
      </c>
      <c r="V26" s="502" t="n">
        <f aca="false">IF(ISERROR(S26*K26),0,S26*K26)</f>
        <v>2</v>
      </c>
      <c r="W26" s="503"/>
      <c r="X26" s="504"/>
      <c r="Y26" s="487" t="str">
        <f aca="false">IF(AND(ISNUMBER(F26),OR(A26="",A26="!!!!!!")),"!!!!!!",IF(A26="new.cod","NEWCOD",IF(AND((Z26=""),ISTEXT(A26),A26&lt;&gt;"!!!!!!"),A26,IF(Z26="","",INDEX('liste reference'!$A$6:$A$1174,Z26)))))</f>
        <v>LEASPX</v>
      </c>
      <c r="Z26" s="472" t="n">
        <f aca="false">IF(ISERROR(MATCH(A26,'liste reference'!$A$6:$A$1174,0)),IF(ISERROR(MATCH(A26,'liste reference'!$B$6:$B$1174,0)),"",(MATCH(A26,'liste reference'!$B$6:$B$1174,0))),(MATCH(A26,'liste reference'!$A$6:$A$1174,0)))</f>
        <v>59</v>
      </c>
    </row>
    <row r="27" customFormat="false" ht="12.75" hidden="false" customHeight="false" outlineLevel="0" collapsed="false">
      <c r="A27" s="490" t="s">
        <v>300</v>
      </c>
      <c r="B27" s="491" t="n">
        <v>0.01</v>
      </c>
      <c r="C27" s="492" t="n">
        <v>0.01</v>
      </c>
      <c r="D27" s="493" t="str">
        <f aca="false">IF(ISERROR(VLOOKUP($A27,'liste reference'!$A$6:$B$1174,2,0)),IF(ISERROR(VLOOKUP($A27,'liste reference'!$B$6:$B$1174,1,0)),"",VLOOKUP($A27,'liste reference'!$B$6:$B$1174,1,0)),VLOOKUP($A27,'liste reference'!$A$6:$B$1174,2,0))</f>
        <v>Oedogonium sp.</v>
      </c>
      <c r="E27" s="494" t="e">
        <f aca="false">IF(D27="",,VLOOKUP(D27,D$22:D26,1,0))</f>
        <v>#N/A</v>
      </c>
      <c r="F27" s="495" t="n">
        <f aca="false">IF(AND(OR(A27="",A27="!!!!!!"),B27="",C27=""),"",IF(OR(AND(B27="",C27=""),ISERROR(C27+B27)),"!!!",($B27*$B$7+$C27*$C$7)/100))</f>
        <v>0.01</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6</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Oedogonium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1134</v>
      </c>
      <c r="R27" s="486" t="n">
        <f aca="false">IF(ISTEXT(H27),"",(B27*$B$7/100)+(C27*$C$7/100))</f>
        <v>0.01</v>
      </c>
      <c r="S27" s="487" t="n">
        <f aca="false">IF(OR(ISTEXT(H27),R27=0),"",IF(R27&lt;0.1,1,IF(R27&lt;1,2,IF(R27&lt;10,3,IF(R27&lt;50,4,IF(R27&gt;=50,5,""))))))</f>
        <v>1</v>
      </c>
      <c r="T27" s="487" t="n">
        <f aca="false">IF(ISERROR(S27*J27),0,S27*J27)</f>
        <v>6</v>
      </c>
      <c r="U27" s="487" t="n">
        <f aca="false">IF(ISERROR(S27*J27*K27),0,S27*J27*K27)</f>
        <v>12</v>
      </c>
      <c r="V27" s="502" t="n">
        <f aca="false">IF(ISERROR(S27*K27),0,S27*K27)</f>
        <v>2</v>
      </c>
      <c r="W27" s="503"/>
      <c r="X27" s="504"/>
      <c r="Y27" s="487" t="str">
        <f aca="false">IF(AND(ISNUMBER(F27),OR(A27="",A27="!!!!!!")),"!!!!!!",IF(A27="new.cod","NEWCOD",IF(AND((Z27=""),ISTEXT(A27),A27&lt;&gt;"!!!!!!"),A27,IF(Z27="","",INDEX('liste reference'!$A$6:$A$1174,Z27)))))</f>
        <v>OEDSPX</v>
      </c>
      <c r="Z27" s="472" t="n">
        <f aca="false">IF(ISERROR(MATCH(A27,'liste reference'!$A$6:$A$1174,0)),IF(ISERROR(MATCH(A27,'liste reference'!$B$6:$B$1174,0)),"",(MATCH(A27,'liste reference'!$B$6:$B$1174,0))),(MATCH(A27,'liste reference'!$A$6:$A$1174,0)))</f>
        <v>85</v>
      </c>
    </row>
    <row r="28" customFormat="false" ht="12.75" hidden="false" customHeight="false" outlineLevel="0" collapsed="false">
      <c r="A28" s="490" t="s">
        <v>309</v>
      </c>
      <c r="B28" s="491" t="n">
        <v>0.07</v>
      </c>
      <c r="C28" s="492" t="n">
        <v>0.01</v>
      </c>
      <c r="D28" s="493" t="str">
        <f aca="false">IF(ISERROR(VLOOKUP($A28,'liste reference'!$A$6:$B$1174,2,0)),IF(ISERROR(VLOOKUP($A28,'liste reference'!$B$6:$B$1174,1,0)),"",VLOOKUP($A28,'liste reference'!$B$6:$B$1174,1,0)),VLOOKUP($A28,'liste reference'!$A$6:$B$1174,2,0))</f>
        <v>Phormidium sp.</v>
      </c>
      <c r="E28" s="494" t="e">
        <f aca="false">IF(D28="",,VLOOKUP(D28,D$22:D27,1,0))</f>
        <v>#N/A</v>
      </c>
      <c r="F28" s="495" t="n">
        <f aca="false">IF(AND(OR(A28="",A28="!!!!!!"),B28="",C28=""),"",IF(OR(AND(B28="",C28=""),ISERROR(C28+B28)),"!!!",($B28*$B$7+$C28*$C$7)/100))</f>
        <v>0.064</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13</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Phormidium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6414</v>
      </c>
      <c r="R28" s="486" t="n">
        <f aca="false">IF(ISTEXT(H28),"",(B28*$B$7/100)+(C28*$C$7/100))</f>
        <v>0.064</v>
      </c>
      <c r="S28" s="487" t="n">
        <f aca="false">IF(OR(ISTEXT(H28),R28=0),"",IF(R28&lt;0.1,1,IF(R28&lt;1,2,IF(R28&lt;10,3,IF(R28&lt;50,4,IF(R28&gt;=50,5,""))))))</f>
        <v>1</v>
      </c>
      <c r="T28" s="487" t="n">
        <f aca="false">IF(ISERROR(S28*J28),0,S28*J28)</f>
        <v>13</v>
      </c>
      <c r="U28" s="487" t="n">
        <f aca="false">IF(ISERROR(S28*J28*K28),0,S28*J28*K28)</f>
        <v>26</v>
      </c>
      <c r="V28" s="502" t="n">
        <f aca="false">IF(ISERROR(S28*K28),0,S28*K28)</f>
        <v>2</v>
      </c>
      <c r="W28" s="503"/>
      <c r="X28" s="504"/>
      <c r="Y28" s="487" t="str">
        <f aca="false">IF(AND(ISNUMBER(F28),OR(A28="",A28="!!!!!!")),"!!!!!!",IF(A28="new.cod","NEWCOD",IF(AND((Z28=""),ISTEXT(A28),A28&lt;&gt;"!!!!!!"),A28,IF(Z28="","",INDEX('liste reference'!$A$6:$A$1174,Z28)))))</f>
        <v>PHOSPX</v>
      </c>
      <c r="Z28" s="472" t="n">
        <f aca="false">IF(ISERROR(MATCH(A28,'liste reference'!$A$6:$A$1174,0)),IF(ISERROR(MATCH(A28,'liste reference'!$B$6:$B$1174,0)),"",(MATCH(A28,'liste reference'!$B$6:$B$1174,0))),(MATCH(A28,'liste reference'!$A$6:$A$1174,0)))</f>
        <v>88</v>
      </c>
    </row>
    <row r="29" customFormat="false" ht="12.75" hidden="false" customHeight="false" outlineLevel="0" collapsed="false">
      <c r="A29" s="490" t="s">
        <v>343</v>
      </c>
      <c r="B29" s="491" t="n">
        <v>0.01</v>
      </c>
      <c r="C29" s="492"/>
      <c r="D29" s="493" t="str">
        <f aca="false">IF(ISERROR(VLOOKUP($A29,'liste reference'!$A$6:$B$1174,2,0)),IF(ISERROR(VLOOKUP($A29,'liste reference'!$B$6:$B$1174,1,0)),"",VLOOKUP($A29,'liste reference'!$B$6:$B$1174,1,0)),VLOOKUP($A29,'liste reference'!$A$6:$B$1174,2,0))</f>
        <v>Spirogyra sp.</v>
      </c>
      <c r="E29" s="494" t="e">
        <f aca="false">IF(D29="",,VLOOKUP(D29,D$22:D28,1,0))</f>
        <v>#N/A</v>
      </c>
      <c r="F29" s="495" t="n">
        <f aca="false">IF(AND(OR(A29="",A29="!!!!!!"),B29="",C29=""),"",IF(OR(AND(B29="",C29=""),ISERROR(C29+B29)),"!!!",($B29*$B$7+$C29*$C$7)/100))</f>
        <v>0.009</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10</v>
      </c>
      <c r="K29" s="498" t="n">
        <f aca="false">IF(ISNUMBER($H29),IF(ISERROR(VLOOKUP($A29,'liste reference'!$A$6:$Q$1174,7,0)),IF(ISERROR(VLOOKUP($A29,'liste reference'!$B$6:$Q$1174,6,0)),"nu",VLOOKUP($A29,'liste reference'!$B$6:$Q$1174,6,0)),VLOOKUP($A29,'liste reference'!$A$6:$Q$1174,7,0)),"nu")</f>
        <v>1</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Spirogyra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1147</v>
      </c>
      <c r="R29" s="486" t="n">
        <f aca="false">IF(ISTEXT(H29),"",(B29*$B$7/100)+(C29*$C$7/100))</f>
        <v>0.009</v>
      </c>
      <c r="S29" s="487" t="n">
        <f aca="false">IF(OR(ISTEXT(H29),R29=0),"",IF(R29&lt;0.1,1,IF(R29&lt;1,2,IF(R29&lt;10,3,IF(R29&lt;50,4,IF(R29&gt;=50,5,""))))))</f>
        <v>1</v>
      </c>
      <c r="T29" s="487" t="n">
        <f aca="false">IF(ISERROR(S29*J29),0,S29*J29)</f>
        <v>10</v>
      </c>
      <c r="U29" s="487" t="n">
        <f aca="false">IF(ISERROR(S29*J29*K29),0,S29*J29*K29)</f>
        <v>10</v>
      </c>
      <c r="V29" s="502" t="n">
        <f aca="false">IF(ISERROR(S29*K29),0,S29*K29)</f>
        <v>1</v>
      </c>
      <c r="W29" s="503"/>
      <c r="X29" s="504"/>
      <c r="Y29" s="487" t="str">
        <f aca="false">IF(AND(ISNUMBER(F29),OR(A29="",A29="!!!!!!")),"!!!!!!",IF(A29="new.cod","NEWCOD",IF(AND((Z29=""),ISTEXT(A29),A29&lt;&gt;"!!!!!!"),A29,IF(Z29="","",INDEX('liste reference'!$A$6:$A$1174,Z29)))))</f>
        <v>SPISPX</v>
      </c>
      <c r="Z29" s="472" t="n">
        <f aca="false">IF(ISERROR(MATCH(A29,'liste reference'!$A$6:$A$1174,0)),IF(ISERROR(MATCH(A29,'liste reference'!$B$6:$B$1174,0)),"",(MATCH(A29,'liste reference'!$B$6:$B$1174,0))),(MATCH(A29,'liste reference'!$A$6:$A$1174,0)))</f>
        <v>102</v>
      </c>
    </row>
    <row r="30" customFormat="false" ht="12.75" hidden="false" customHeight="false" outlineLevel="0" collapsed="false">
      <c r="A30" s="490" t="s">
        <v>642</v>
      </c>
      <c r="B30" s="491" t="n">
        <v>0.01</v>
      </c>
      <c r="C30" s="492"/>
      <c r="D30" s="493" t="str">
        <f aca="false">IF(ISERROR(VLOOKUP($A30,'liste reference'!$A$6:$B$1174,2,0)),IF(ISERROR(VLOOKUP($A30,'liste reference'!$B$6:$B$1174,1,0)),"",VLOOKUP($A30,'liste reference'!$B$6:$B$1174,1,0)),VLOOKUP($A30,'liste reference'!$A$6:$B$1174,2,0))</f>
        <v>Blindia acuta</v>
      </c>
      <c r="E30" s="494" t="e">
        <f aca="false">IF(D30="",,VLOOKUP(D30,D$22:D29,1,0))</f>
        <v>#N/A</v>
      </c>
      <c r="F30" s="495" t="n">
        <f aca="false">IF(AND(OR(A30="",A30="!!!!!!"),B30="",C30=""),"",IF(OR(AND(B30="",C30=""),ISERROR(C30+B30)),"!!!",($B30*$B$7+$C30*$C$7)/100))</f>
        <v>0.009</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Blindia acuta</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1271</v>
      </c>
      <c r="R30" s="486" t="n">
        <f aca="false">IF(ISTEXT(H30),"",(B30*$B$7/100)+(C30*$C$7/100))</f>
        <v>0.009</v>
      </c>
      <c r="S30" s="487" t="n">
        <f aca="false">IF(OR(ISTEXT(H30),R30=0),"",IF(R30&lt;0.1,1,IF(R30&lt;1,2,IF(R30&lt;10,3,IF(R30&lt;50,4,IF(R30&gt;=50,5,""))))))</f>
        <v>1</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BLIACU</v>
      </c>
      <c r="Z30" s="472" t="n">
        <f aca="false">IF(ISERROR(MATCH(A30,'liste reference'!$A$6:$A$1174,0)),IF(ISERROR(MATCH(A30,'liste reference'!$B$6:$B$1174,0)),"",(MATCH(A30,'liste reference'!$B$6:$B$1174,0))),(MATCH(A30,'liste reference'!$A$6:$A$1174,0)))</f>
        <v>202</v>
      </c>
    </row>
    <row r="31" customFormat="false" ht="12.75" hidden="false" customHeight="false" outlineLevel="0" collapsed="false">
      <c r="A31" s="490" t="s">
        <v>1201</v>
      </c>
      <c r="B31" s="491" t="n">
        <v>0.01</v>
      </c>
      <c r="C31" s="492"/>
      <c r="D31" s="493" t="str">
        <f aca="false">IF(ISERROR(VLOOKUP($A31,'liste reference'!$A$6:$B$1174,2,0)),IF(ISERROR(VLOOKUP($A31,'liste reference'!$B$6:$B$1174,1,0)),"",VLOOKUP($A31,'liste reference'!$B$6:$B$1174,1,0)),VLOOKUP($A31,'liste reference'!$A$6:$B$1174,2,0))</f>
        <v>Thamnobryum alopecurum</v>
      </c>
      <c r="E31" s="494" t="e">
        <f aca="false">IF(D31="",,VLOOKUP(D31,D$22:D30,1,0))</f>
        <v>#N/A</v>
      </c>
      <c r="F31" s="495" t="n">
        <f aca="false">IF(AND(OR(A31="",A31="!!!!!!"),B31="",C31=""),"",IF(OR(AND(B31="",C31=""),ISERROR(C31+B31)),"!!!",($B31*$B$7+$C31*$C$7)/100))</f>
        <v>0.009</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n">
        <f aca="false">IF(ISNUMBER($H31),IF(ISERROR(VLOOKUP($A31,'liste reference'!$A$6:$Q$1174,6,0)),IF(ISERROR(VLOOKUP($A31,'liste reference'!$B$6:$Q$1174,5,0)),"nu",VLOOKUP($A31,'liste reference'!$B$6:$Q$1174,5,0)),VLOOKUP($A31,'liste reference'!$A$6:$Q$1174,6,0)),"nu")</f>
        <v>15</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Thamnobryum alopecurum</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1344</v>
      </c>
      <c r="R31" s="486" t="n">
        <f aca="false">IF(ISTEXT(H31),"",(B31*$B$7/100)+(C31*$C$7/100))</f>
        <v>0.009</v>
      </c>
      <c r="S31" s="487" t="n">
        <f aca="false">IF(OR(ISTEXT(H31),R31=0),"",IF(R31&lt;0.1,1,IF(R31&lt;1,2,IF(R31&lt;10,3,IF(R31&lt;50,4,IF(R31&gt;=50,5,""))))))</f>
        <v>1</v>
      </c>
      <c r="T31" s="487" t="n">
        <f aca="false">IF(ISERROR(S31*J31),0,S31*J31)</f>
        <v>15</v>
      </c>
      <c r="U31" s="487" t="n">
        <f aca="false">IF(ISERROR(S31*J31*K31),0,S31*J31*K31)</f>
        <v>30</v>
      </c>
      <c r="V31" s="502" t="n">
        <f aca="false">IF(ISERROR(S31*K31),0,S31*K31)</f>
        <v>2</v>
      </c>
      <c r="W31" s="503"/>
      <c r="X31" s="504"/>
      <c r="Y31" s="487" t="str">
        <f aca="false">IF(AND(ISNUMBER(F31),OR(A31="",A31="!!!!!!")),"!!!!!!",IF(A31="new.cod","NEWCOD",IF(AND((Z31=""),ISTEXT(A31),A31&lt;&gt;"!!!!!!"),A31,IF(Z31="","",INDEX('liste reference'!$A$6:$A$1174,Z31)))))</f>
        <v>THAALO</v>
      </c>
      <c r="Z31" s="472" t="n">
        <f aca="false">IF(ISERROR(MATCH(A31,'liste reference'!$A$6:$A$1174,0)),IF(ISERROR(MATCH(A31,'liste reference'!$B$6:$B$1174,0)),"",(MATCH(A31,'liste reference'!$B$6:$B$1174,0))),(MATCH(A31,'liste reference'!$A$6:$A$1174,0)))</f>
        <v>368</v>
      </c>
    </row>
    <row r="32" customFormat="false" ht="12.75" hidden="false" customHeight="false" outlineLevel="0" collapsed="false">
      <c r="A32" s="490" t="s">
        <v>3449</v>
      </c>
      <c r="B32" s="491"/>
      <c r="C32" s="492" t="n">
        <v>0.15</v>
      </c>
      <c r="D32" s="493" t="str">
        <f aca="false">IF(ISERROR(VLOOKUP($A32,'liste reference'!$A$6:$B$1174,2,0)),IF(ISERROR(VLOOKUP($A32,'liste reference'!$B$6:$B$1174,1,0)),"",VLOOKUP($A32,'liste reference'!$B$6:$B$1174,1,0)),VLOOKUP($A32,'liste reference'!$A$6:$B$1174,2,0))</f>
        <v/>
      </c>
      <c r="E32" s="494" t="n">
        <f aca="false">IF(D32="",,VLOOKUP(D32,D$22:D31,1,0))</f>
        <v>0</v>
      </c>
      <c r="F32" s="495" t="n">
        <f aca="false">IF(AND(OR(A32="",A32="!!!!!!"),B32="",C32=""),"",IF(OR(AND(B32="",C32=""),ISERROR(C32+B32)),"!!!",($B32*$B$7+$C32*$C$7)/100))</f>
        <v>0.015</v>
      </c>
      <c r="G32" s="496" t="str">
        <f aca="false">IF(A32="","",IF(ISERROR(VLOOKUP($A32,'liste reference'!$A$6:$Q$1174,9,0)),IF(ISERROR(VLOOKUP($A32,'liste reference'!$B$6:$Q$1174,8,0)),"    -",VLOOKUP($A32,'liste reference'!$B$6:$Q$1174,8,0)),VLOOKUP($A32,'liste reference'!$A$6:$Q$1174,9,0)))</f>
        <v>    -</v>
      </c>
      <c r="H32" s="497" t="str">
        <f aca="false">IF(A32="","x",IF(ISERROR(VLOOKUP($A32,'liste reference'!$A$6:$Q$1174,10,0)),IF(ISERROR(VLOOKUP($A32,'liste reference'!$B$6:$Q$1174,9,0)),"x",VLOOKUP($A32,'liste reference'!$B$6:$Q$1174,9,0)),VLOOKUP($A32,'liste reference'!$A$6:$Q$1174,10,0)))</f>
        <v>x</v>
      </c>
      <c r="I32" s="285" t="n">
        <f aca="false">IF(A32="","",1)</f>
        <v>1</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Tabellaria sp.</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9557</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t="s">
        <v>3450</v>
      </c>
      <c r="X32" s="504" t="n">
        <v>9557</v>
      </c>
      <c r="Y32" s="487" t="str">
        <f aca="false">IF(AND(ISNUMBER(F32),OR(A32="",A32="!!!!!!")),"!!!!!!",IF(A32="new.cod","NEWCOD",IF(AND((Z32=""),ISTEXT(A32),A32&lt;&gt;"!!!!!!"),A32,IF(Z32="","",INDEX('liste reference'!$A$6:$A$1174,Z32)))))</f>
        <v>NEWCOD</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t="s">
        <v>3449</v>
      </c>
      <c r="B33" s="491"/>
      <c r="C33" s="492" t="n">
        <v>0.2</v>
      </c>
      <c r="D33" s="493" t="str">
        <f aca="false">IF(ISERROR(VLOOKUP($A33,'liste reference'!$A$6:$B$1174,2,0)),IF(ISERROR(VLOOKUP($A33,'liste reference'!$B$6:$B$1174,1,0)),"",VLOOKUP($A33,'liste reference'!$B$6:$B$1174,1,0)),VLOOKUP($A33,'liste reference'!$A$6:$B$1174,2,0))</f>
        <v/>
      </c>
      <c r="E33" s="494" t="n">
        <f aca="false">IF(D33="",,VLOOKUP(D33,D$22:D32,1,0))</f>
        <v>0</v>
      </c>
      <c r="F33" s="495" t="n">
        <f aca="false">IF(AND(OR(A33="",A33="!!!!!!"),B33="",C33=""),"",IF(OR(AND(B33="",C33=""),ISERROR(C33+B33)),"!!!",($B33*$B$7+$C33*$C$7)/100))</f>
        <v>0.02</v>
      </c>
      <c r="G33" s="496" t="str">
        <f aca="false">IF(A33="","",IF(ISERROR(VLOOKUP($A33,'liste reference'!$A$6:$Q$1174,9,0)),IF(ISERROR(VLOOKUP($A33,'liste reference'!$B$6:$Q$1174,8,0)),"    -",VLOOKUP($A33,'liste reference'!$B$6:$Q$1174,8,0)),VLOOKUP($A33,'liste reference'!$A$6:$Q$1174,9,0)))</f>
        <v>    -</v>
      </c>
      <c r="H33" s="497" t="str">
        <f aca="false">IF(A33="","x",IF(ISERROR(VLOOKUP($A33,'liste reference'!$A$6:$Q$1174,10,0)),IF(ISERROR(VLOOKUP($A33,'liste reference'!$B$6:$Q$1174,9,0)),"x",VLOOKUP($A33,'liste reference'!$B$6:$Q$1174,9,0)),VLOOKUP($A33,'liste reference'!$A$6:$Q$1174,10,0)))</f>
        <v>x</v>
      </c>
      <c r="I33" s="285" t="n">
        <f aca="false">IF(A33="","",1)</f>
        <v>1</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Hyalotheca sp.</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5416</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t="s">
        <v>3451</v>
      </c>
      <c r="X33" s="504" t="n">
        <v>5416</v>
      </c>
      <c r="Y33" s="487" t="str">
        <f aca="false">IF(AND(ISNUMBER(F33),OR(A33="",A33="!!!!!!")),"!!!!!!",IF(A33="new.cod","NEWCOD",IF(AND((Z33=""),ISTEXT(A33),A33&lt;&gt;"!!!!!!"),A33,IF(Z33="","",INDEX('liste reference'!$A$6:$A$1174,Z33)))))</f>
        <v>NEWCOD</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t="s">
        <v>3449</v>
      </c>
      <c r="B34" s="491" t="n">
        <v>0.04</v>
      </c>
      <c r="C34" s="492"/>
      <c r="D34" s="493" t="str">
        <f aca="false">IF(ISERROR(VLOOKUP($A34,'liste reference'!$A$6:$B$1174,2,0)),IF(ISERROR(VLOOKUP($A34,'liste reference'!$B$6:$B$1174,1,0)),"",VLOOKUP($A34,'liste reference'!$B$6:$B$1174,1,0)),VLOOKUP($A34,'liste reference'!$A$6:$B$1174,2,0))</f>
        <v/>
      </c>
      <c r="E34" s="494" t="n">
        <f aca="false">IF(D34="",,VLOOKUP(D34,D$22:D33,1,0))</f>
        <v>0</v>
      </c>
      <c r="F34" s="495" t="n">
        <f aca="false">IF(AND(OR(A34="",A34="!!!!!!"),B34="",C34=""),"",IF(OR(AND(B34="",C34=""),ISERROR(C34+B34)),"!!!",($B34*$B$7+$C34*$C$7)/100))</f>
        <v>0.036</v>
      </c>
      <c r="G34" s="496" t="str">
        <f aca="false">IF(A34="","",IF(ISERROR(VLOOKUP($A34,'liste reference'!$A$6:$Q$1174,9,0)),IF(ISERROR(VLOOKUP($A34,'liste reference'!$B$6:$Q$1174,8,0)),"    -",VLOOKUP($A34,'liste reference'!$B$6:$Q$1174,8,0)),VLOOKUP($A34,'liste reference'!$A$6:$Q$1174,9,0)))</f>
        <v>    -</v>
      </c>
      <c r="H34" s="497" t="str">
        <f aca="false">IF(A34="","x",IF(ISERROR(VLOOKUP($A34,'liste reference'!$A$6:$Q$1174,10,0)),IF(ISERROR(VLOOKUP($A34,'liste reference'!$B$6:$Q$1174,9,0)),"x",VLOOKUP($A34,'liste reference'!$B$6:$Q$1174,9,0)),VLOOKUP($A34,'liste reference'!$A$6:$Q$1174,10,0)))</f>
        <v>x</v>
      </c>
      <c r="I34" s="285" t="n">
        <f aca="false">IF(A34="","",1)</f>
        <v>1</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Dichothrix sp.</v>
      </c>
      <c r="M34" s="499"/>
      <c r="N34" s="499"/>
      <c r="O34" s="499"/>
      <c r="P34" s="500" t="s">
        <v>3452</v>
      </c>
      <c r="Q34" s="501" t="n">
        <f aca="false">IF(OR($A34="NEWCOD",$A34="!!!!!!"),IF(X34="","NoCod",X34),IF($A34="","",IF(ISERROR(VLOOKUP($A34,'liste reference'!$A$6:$H$1174,8,FALSE())),IF(ISERROR(VLOOKUP($A34,'liste reference'!$B$6:$H$1174,7,FALSE())),"",VLOOKUP($A34,'liste reference'!$B$6:$H$1174,7,FALSE())),VLOOKUP($A34,'liste reference'!$A$6:$H$1174,8,FALSE()))))</f>
        <v>31928</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t="s">
        <v>3453</v>
      </c>
      <c r="X34" s="504" t="n">
        <v>31928</v>
      </c>
      <c r="Y34" s="487" t="str">
        <f aca="false">IF(AND(ISNUMBER(F34),OR(A34="",A34="!!!!!!")),"!!!!!!",IF(A34="new.cod","NEWCOD",IF(AND((Z34=""),ISTEXT(A34),A34&lt;&gt;"!!!!!!"),A34,IF(Z34="","",INDEX('liste reference'!$A$6:$A$1174,Z34)))))</f>
        <v>NEWCOD</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t="s">
        <v>3449</v>
      </c>
      <c r="B35" s="491" t="n">
        <v>0.5</v>
      </c>
      <c r="C35" s="492" t="n">
        <v>1</v>
      </c>
      <c r="D35" s="493" t="str">
        <f aca="false">IF(ISERROR(VLOOKUP($A35,'liste reference'!$A$6:$B$1174,2,0)),IF(ISERROR(VLOOKUP($A35,'liste reference'!$B$6:$B$1174,1,0)),"",VLOOKUP($A35,'liste reference'!$B$6:$B$1174,1,0)),VLOOKUP($A35,'liste reference'!$A$6:$B$1174,2,0))</f>
        <v/>
      </c>
      <c r="E35" s="494" t="n">
        <f aca="false">IF(D35="",,VLOOKUP(D35,D$22:D34,1,0))</f>
        <v>0</v>
      </c>
      <c r="F35" s="495" t="n">
        <f aca="false">IF(AND(OR(A35="",A35="!!!!!!"),B35="",C35=""),"",IF(OR(AND(B35="",C35=""),ISERROR(C35+B35)),"!!!",($B35*$B$7+$C35*$C$7)/100))</f>
        <v>0.55</v>
      </c>
      <c r="G35" s="496" t="str">
        <f aca="false">IF(A35="","",IF(ISERROR(VLOOKUP($A35,'liste reference'!$A$6:$Q$1174,9,0)),IF(ISERROR(VLOOKUP($A35,'liste reference'!$B$6:$Q$1174,8,0)),"    -",VLOOKUP($A35,'liste reference'!$B$6:$Q$1174,8,0)),VLOOKUP($A35,'liste reference'!$A$6:$Q$1174,9,0)))</f>
        <v>    -</v>
      </c>
      <c r="H35" s="497" t="str">
        <f aca="false">IF(A35="","x",IF(ISERROR(VLOOKUP($A35,'liste reference'!$A$6:$Q$1174,10,0)),IF(ISERROR(VLOOKUP($A35,'liste reference'!$B$6:$Q$1174,9,0)),"x",VLOOKUP($A35,'liste reference'!$B$6:$Q$1174,9,0)),VLOOKUP($A35,'liste reference'!$A$6:$Q$1174,10,0)))</f>
        <v>x</v>
      </c>
      <c r="I35" s="285" t="n">
        <f aca="false">IF(A35="","",1)</f>
        <v>1</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Coleochaete sp.</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5585</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t="s">
        <v>3454</v>
      </c>
      <c r="X35" s="504" t="n">
        <v>5585</v>
      </c>
      <c r="Y35" s="487" t="str">
        <f aca="false">IF(AND(ISNUMBER(F35),OR(A35="",A35="!!!!!!")),"!!!!!!",IF(A35="new.cod","NEWCOD",IF(AND((Z35=""),ISTEXT(A35),A35&lt;&gt;"!!!!!!"),A35,IF(Z35="","",INDEX('liste reference'!$A$6:$A$1174,Z35)))))</f>
        <v>NEWCOD</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t="s">
        <v>3449</v>
      </c>
      <c r="B36" s="491" t="n">
        <v>0.06</v>
      </c>
      <c r="C36" s="492"/>
      <c r="D36" s="493" t="str">
        <f aca="false">IF(ISERROR(VLOOKUP($A36,'liste reference'!$A$6:$B$1174,2,0)),IF(ISERROR(VLOOKUP($A36,'liste reference'!$B$6:$B$1174,1,0)),"",VLOOKUP($A36,'liste reference'!$B$6:$B$1174,1,0)),VLOOKUP($A36,'liste reference'!$A$6:$B$1174,2,0))</f>
        <v/>
      </c>
      <c r="E36" s="494" t="n">
        <f aca="false">IF(D36="",,VLOOKUP(D36,D$22:D35,1,0))</f>
        <v>0</v>
      </c>
      <c r="F36" s="495" t="n">
        <f aca="false">IF(AND(OR(A36="",A36="!!!!!!"),B36="",C36=""),"",IF(OR(AND(B36="",C36=""),ISERROR(C36+B36)),"!!!",($B36*$B$7+$C36*$C$7)/100))</f>
        <v>0.054</v>
      </c>
      <c r="G36" s="496" t="str">
        <f aca="false">IF(A36="","",IF(ISERROR(VLOOKUP($A36,'liste reference'!$A$6:$Q$1174,9,0)),IF(ISERROR(VLOOKUP($A36,'liste reference'!$B$6:$Q$1174,8,0)),"    -",VLOOKUP($A36,'liste reference'!$B$6:$Q$1174,8,0)),VLOOKUP($A36,'liste reference'!$A$6:$Q$1174,9,0)))</f>
        <v>    -</v>
      </c>
      <c r="H36" s="497" t="str">
        <f aca="false">IF(A36="","x",IF(ISERROR(VLOOKUP($A36,'liste reference'!$A$6:$Q$1174,10,0)),IF(ISERROR(VLOOKUP($A36,'liste reference'!$B$6:$Q$1174,9,0)),"x",VLOOKUP($A36,'liste reference'!$B$6:$Q$1174,9,0)),VLOOKUP($A36,'liste reference'!$A$6:$Q$1174,10,0)))</f>
        <v>x</v>
      </c>
      <c r="I36" s="285" t="n">
        <f aca="false">IF(A36="","",1)</f>
        <v>1</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Klebsormidium sp.</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5281</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t="s">
        <v>3455</v>
      </c>
      <c r="X36" s="504" t="n">
        <v>5281</v>
      </c>
      <c r="Y36" s="487" t="str">
        <f aca="false">IF(AND(ISNUMBER(F36),OR(A36="",A36="!!!!!!")),"!!!!!!",IF(A36="new.cod","NEWCOD",IF(AND((Z36=""),ISTEXT(A36),A36&lt;&gt;"!!!!!!"),A36,IF(Z36="","",INDEX('liste reference'!$A$6:$A$1174,Z36)))))</f>
        <v>NEWCOD</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t="s">
        <v>3449</v>
      </c>
      <c r="B37" s="491" t="n">
        <v>0.01</v>
      </c>
      <c r="C37" s="492"/>
      <c r="D37" s="493" t="str">
        <f aca="false">IF(ISERROR(VLOOKUP($A37,'liste reference'!$A$6:$B$1174,2,0)),IF(ISERROR(VLOOKUP($A37,'liste reference'!$B$6:$B$1174,1,0)),"",VLOOKUP($A37,'liste reference'!$B$6:$B$1174,1,0)),VLOOKUP($A37,'liste reference'!$A$6:$B$1174,2,0))</f>
        <v/>
      </c>
      <c r="E37" s="494" t="n">
        <f aca="false">IF(D37="",,VLOOKUP(D37,D$22:D36,1,0))</f>
        <v>0</v>
      </c>
      <c r="F37" s="495" t="n">
        <f aca="false">IF(AND(OR(A37="",A37="!!!!!!"),B37="",C37=""),"",IF(OR(AND(B37="",C37=""),ISERROR(C37+B37)),"!!!",($B37*$B$7+$C37*$C$7)/100))</f>
        <v>0.009</v>
      </c>
      <c r="G37" s="496" t="str">
        <f aca="false">IF(A37="","",IF(ISERROR(VLOOKUP($A37,'liste reference'!$A$6:$Q$1174,9,0)),IF(ISERROR(VLOOKUP($A37,'liste reference'!$B$6:$Q$1174,8,0)),"    -",VLOOKUP($A37,'liste reference'!$B$6:$Q$1174,8,0)),VLOOKUP($A37,'liste reference'!$A$6:$Q$1174,9,0)))</f>
        <v>    -</v>
      </c>
      <c r="H37" s="497" t="str">
        <f aca="false">IF(A37="","x",IF(ISERROR(VLOOKUP($A37,'liste reference'!$A$6:$Q$1174,10,0)),IF(ISERROR(VLOOKUP($A37,'liste reference'!$B$6:$Q$1174,9,0)),"x",VLOOKUP($A37,'liste reference'!$B$6:$Q$1174,9,0)),VLOOKUP($A37,'liste reference'!$A$6:$Q$1174,10,0)))</f>
        <v>x</v>
      </c>
      <c r="I37" s="285" t="n">
        <f aca="false">IF(A37="","",1)</f>
        <v>1</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Coleodesmium sp.</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42870</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t="s">
        <v>3456</v>
      </c>
      <c r="X37" s="504" t="n">
        <v>42870</v>
      </c>
      <c r="Y37" s="487" t="str">
        <f aca="false">IF(AND(ISNUMBER(F37),OR(A37="",A37="!!!!!!")),"!!!!!!",IF(A37="new.cod","NEWCOD",IF(AND((Z37=""),ISTEXT(A37),A37&lt;&gt;"!!!!!!"),A37,IF(Z37="","",INDEX('liste reference'!$A$6:$A$1174,Z37)))))</f>
        <v>NEWCOD</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1.049</v>
      </c>
      <c r="G83" s="425"/>
      <c r="H83" s="425"/>
      <c r="I83" s="425"/>
      <c r="J83" s="425"/>
      <c r="K83" s="425"/>
      <c r="L83" s="425"/>
      <c r="M83" s="487"/>
      <c r="N83" s="487"/>
      <c r="O83" s="487"/>
      <c r="P83" s="487"/>
      <c r="Q83" s="487"/>
      <c r="R83" s="487"/>
      <c r="S83" s="487"/>
      <c r="T83" s="487"/>
      <c r="U83" s="487"/>
      <c r="V83" s="487" t="n">
        <f aca="false">SUM(V23:V82)</f>
        <v>17</v>
      </c>
      <c r="W83" s="487"/>
      <c r="X83" s="524"/>
      <c r="Y83" s="524"/>
      <c r="Z83" s="525"/>
    </row>
    <row r="84" customFormat="false" ht="12.75" hidden="true" customHeight="false" outlineLevel="0" collapsed="false">
      <c r="A84" s="519" t="str">
        <f aca="false">A3</f>
        <v>CRUZZINI</v>
      </c>
      <c r="B84" s="454" t="str">
        <f aca="false">C3</f>
        <v>CRUZINI A AZZANA</v>
      </c>
      <c r="C84" s="526" t="str">
        <f aca="false">A4</f>
        <v>(Date)</v>
      </c>
      <c r="D84" s="527" t="n">
        <f aca="false">IF(OR(ISERROR(SUM($U$23:$U$82)/SUM($V$23:$V$82)),F7&lt;&gt;100),-1,SUM($U$23:$U$82)/SUM($V$23:$V$82))</f>
        <v>13.0588235294118</v>
      </c>
      <c r="E84" s="528" t="n">
        <f aca="false">O13</f>
        <v>15</v>
      </c>
      <c r="F84" s="454" t="n">
        <f aca="false">O14</f>
        <v>8</v>
      </c>
      <c r="G84" s="454" t="n">
        <f aca="false">O15</f>
        <v>1</v>
      </c>
      <c r="H84" s="454" t="n">
        <f aca="false">O16</f>
        <v>7</v>
      </c>
      <c r="I84" s="454" t="n">
        <f aca="false">O17</f>
        <v>0</v>
      </c>
      <c r="J84" s="529" t="n">
        <f aca="false">O8</f>
        <v>12.5</v>
      </c>
      <c r="K84" s="530" t="n">
        <f aca="false">O9</f>
        <v>3.04138126514911</v>
      </c>
      <c r="L84" s="531" t="n">
        <f aca="false">O10</f>
        <v>6</v>
      </c>
      <c r="M84" s="531" t="n">
        <f aca="false">O11</f>
        <v>16</v>
      </c>
      <c r="N84" s="530" t="n">
        <f aca="false">P8</f>
        <v>1.875</v>
      </c>
      <c r="O84" s="530" t="n">
        <f aca="false">P9</f>
        <v>0.330718913883074</v>
      </c>
      <c r="P84" s="531" t="n">
        <f aca="false">P10</f>
        <v>1</v>
      </c>
      <c r="Q84" s="531" t="n">
        <f aca="false">P11</f>
        <v>2</v>
      </c>
      <c r="R84" s="531" t="n">
        <f aca="false">F21</f>
        <v>1.049</v>
      </c>
      <c r="S84" s="531" t="n">
        <f aca="false">L11</f>
        <v>0</v>
      </c>
      <c r="T84" s="531" t="n">
        <f aca="false">L12</f>
        <v>7</v>
      </c>
      <c r="U84" s="531" t="n">
        <f aca="false">L13</f>
        <v>2</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3457</v>
      </c>
      <c r="S86" s="285"/>
      <c r="T86" s="537"/>
      <c r="U86" s="285"/>
      <c r="V86" s="285"/>
    </row>
    <row r="87" customFormat="false" ht="12.75" hidden="true" customHeight="false" outlineLevel="0" collapsed="false">
      <c r="C87" s="535"/>
      <c r="D87" s="535"/>
      <c r="E87" s="535"/>
      <c r="R87" s="285" t="s">
        <v>3458</v>
      </c>
      <c r="S87" s="285"/>
      <c r="T87" s="537" t="n">
        <f aca="false">VLOOKUP($T$91,($A$23:$U$82),20,FALSE())</f>
        <v>32</v>
      </c>
      <c r="U87" s="285"/>
      <c r="V87" s="285"/>
    </row>
    <row r="88" customFormat="false" ht="12.75" hidden="true" customHeight="false" outlineLevel="0" collapsed="false">
      <c r="C88" s="535"/>
      <c r="D88" s="535"/>
      <c r="E88" s="535"/>
      <c r="R88" s="285" t="s">
        <v>3459</v>
      </c>
      <c r="S88" s="285"/>
      <c r="T88" s="537" t="n">
        <f aca="false">VLOOKUP($T$91,($A$23:$U$82),21,FALSE())</f>
        <v>64</v>
      </c>
      <c r="U88" s="285"/>
      <c r="V88" s="285" t="n">
        <f aca="false">COUNTIF(V23:V82,T89)</f>
        <v>1</v>
      </c>
    </row>
    <row r="89" customFormat="false" ht="12.75" hidden="true" customHeight="false" outlineLevel="0" collapsed="false">
      <c r="C89" s="535"/>
      <c r="D89" s="535"/>
      <c r="E89" s="535"/>
      <c r="R89" s="285" t="s">
        <v>3460</v>
      </c>
      <c r="S89" s="285"/>
      <c r="T89" s="537" t="n">
        <f aca="false">MAX($V$23:$V$82)</f>
        <v>4</v>
      </c>
      <c r="U89" s="285"/>
    </row>
    <row r="90" customFormat="false" ht="12.75" hidden="true" customHeight="false" outlineLevel="0" collapsed="false">
      <c r="C90" s="535"/>
      <c r="D90" s="535"/>
      <c r="E90" s="535"/>
      <c r="R90" s="285" t="s">
        <v>3461</v>
      </c>
      <c r="S90" s="285" t="s">
        <v>3384</v>
      </c>
      <c r="T90" s="538" t="n">
        <f aca="false">IF(OR(ISERROR(SUM($U$23:$U$82)/SUM($V$23:$V$82)),F7&lt;&gt;100),-1,(SUM($U$23:$U$82)-T88)/(SUM($V$23:$V$82)-T89))</f>
        <v>12.1538461538462</v>
      </c>
      <c r="U90" s="285" t="n">
        <f aca="false">IF(ISERROR(T90),0,1)</f>
        <v>1</v>
      </c>
    </row>
    <row r="91" customFormat="false" ht="12.75" hidden="true" customHeight="false" outlineLevel="0" collapsed="false">
      <c r="C91" s="535"/>
      <c r="D91" s="535"/>
      <c r="E91" s="535"/>
      <c r="R91" s="487" t="s">
        <v>3462</v>
      </c>
      <c r="S91" s="487"/>
      <c r="T91" s="487" t="str">
        <f aca="false">INDEX('liste reference'!$A$6:$A$1174,$U$91)</f>
        <v>BATSPX</v>
      </c>
      <c r="U91" s="285" t="n">
        <f aca="false">IF(ISERROR(MATCH($T$93,'liste reference'!$A$6:$A$1174,0)),MATCH($T$93,'liste reference'!$B$6:$B$1174,0),(MATCH($T$93,'liste reference'!$A$6:$A$1174,0)))</f>
        <v>10</v>
      </c>
      <c r="V91" s="525"/>
    </row>
    <row r="92" customFormat="false" ht="12.75" hidden="true" customHeight="false" outlineLevel="0" collapsed="false">
      <c r="C92" s="535"/>
      <c r="D92" s="535"/>
      <c r="E92" s="535"/>
      <c r="R92" s="285" t="s">
        <v>3463</v>
      </c>
      <c r="S92" s="285"/>
      <c r="T92" s="285" t="n">
        <f aca="false">MATCH(T89,$V$23:$V$82,0)</f>
        <v>2</v>
      </c>
      <c r="U92" s="285"/>
    </row>
    <row r="93" customFormat="false" ht="12.75" hidden="true" customHeight="false" outlineLevel="0" collapsed="false">
      <c r="C93" s="535"/>
      <c r="D93" s="535"/>
      <c r="E93" s="535"/>
      <c r="R93" s="487" t="s">
        <v>3464</v>
      </c>
      <c r="S93" s="285"/>
      <c r="T93" s="487" t="str">
        <f aca="false">INDEX($A$23:$A$82,$T$92)</f>
        <v>BATSPX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3465</v>
      </c>
      <c r="B2" s="290"/>
      <c r="C2" s="291" t="s">
        <v>3466</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3467</v>
      </c>
      <c r="B3" s="290"/>
      <c r="C3" s="289" t="s">
        <v>3468</v>
      </c>
      <c r="D3" s="300"/>
      <c r="E3" s="300"/>
      <c r="F3" s="301"/>
      <c r="G3" s="301"/>
      <c r="H3" s="300"/>
      <c r="I3" s="285"/>
      <c r="J3" s="292"/>
      <c r="K3" s="302"/>
      <c r="L3" s="303" t="s">
        <v>3469</v>
      </c>
      <c r="M3" s="304"/>
      <c r="N3" s="305" t="s">
        <v>3470</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3471</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3457</v>
      </c>
      <c r="S86" s="285"/>
      <c r="T86" s="537"/>
      <c r="U86" s="285"/>
      <c r="V86" s="285"/>
    </row>
    <row r="87" customFormat="false" ht="12.75" hidden="true" customHeight="false" outlineLevel="0" collapsed="false">
      <c r="C87" s="535"/>
      <c r="D87" s="535"/>
      <c r="E87" s="535"/>
      <c r="R87" s="285" t="s">
        <v>3458</v>
      </c>
      <c r="S87" s="285"/>
      <c r="T87" s="537" t="n">
        <f aca="false">VLOOKUP($T$91,($A$23:$U$82),20,FALSE())</f>
        <v>0</v>
      </c>
      <c r="U87" s="285"/>
      <c r="V87" s="285"/>
    </row>
    <row r="88" customFormat="false" ht="12.75" hidden="true" customHeight="false" outlineLevel="0" collapsed="false">
      <c r="C88" s="535"/>
      <c r="D88" s="535"/>
      <c r="E88" s="535"/>
      <c r="R88" s="285" t="s">
        <v>3459</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3460</v>
      </c>
      <c r="S89" s="285"/>
      <c r="T89" s="537" t="n">
        <f aca="false">MAX($V$23:$V$82)</f>
        <v>0</v>
      </c>
      <c r="U89" s="285"/>
    </row>
    <row r="90" customFormat="false" ht="12.75" hidden="true" customHeight="false" outlineLevel="0" collapsed="false">
      <c r="C90" s="535"/>
      <c r="D90" s="535"/>
      <c r="E90" s="535"/>
      <c r="R90" s="285" t="s">
        <v>3461</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3462</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3463</v>
      </c>
      <c r="S92" s="285"/>
      <c r="T92" s="285" t="n">
        <f aca="false">MATCH(T89,$V$23:$V$82,0)</f>
        <v>1</v>
      </c>
      <c r="U92" s="285"/>
    </row>
    <row r="93" customFormat="false" ht="12.75" hidden="true" customHeight="false" outlineLevel="0" collapsed="false">
      <c r="C93" s="535"/>
      <c r="D93" s="535"/>
      <c r="E93" s="535"/>
      <c r="R93" s="487" t="s">
        <v>3464</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3472</v>
      </c>
      <c r="B1" s="541"/>
      <c r="C1" s="541"/>
      <c r="D1" s="541"/>
      <c r="E1" s="542" t="s">
        <v>3473</v>
      </c>
      <c r="F1" s="543" t="s">
        <v>3474</v>
      </c>
      <c r="G1" s="544"/>
      <c r="H1" s="544"/>
      <c r="I1" s="544"/>
      <c r="J1" s="544"/>
      <c r="K1" s="544"/>
      <c r="L1" s="545"/>
    </row>
    <row r="2" customFormat="false" ht="13.8" hidden="false" customHeight="false" outlineLevel="0" collapsed="false">
      <c r="A2" s="546" t="s">
        <v>3475</v>
      </c>
      <c r="B2" s="547"/>
      <c r="C2" s="548"/>
      <c r="D2" s="548"/>
      <c r="E2" s="549"/>
      <c r="F2" s="543" t="s">
        <v>3476</v>
      </c>
      <c r="G2" s="544"/>
      <c r="H2" s="544"/>
      <c r="I2" s="544"/>
      <c r="J2" s="544"/>
      <c r="K2" s="544"/>
      <c r="L2" s="545"/>
    </row>
    <row r="3" customFormat="false" ht="13.8" hidden="false" customHeight="false" outlineLevel="0" collapsed="false">
      <c r="A3" s="546" t="s">
        <v>3477</v>
      </c>
      <c r="B3" s="547"/>
      <c r="C3" s="548"/>
      <c r="D3" s="550" t="s">
        <v>3478</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3479</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3449</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3480</v>
      </c>
      <c r="G17" s="569"/>
      <c r="H17" s="570" t="s">
        <v>3481</v>
      </c>
      <c r="I17" s="569"/>
    </row>
    <row r="18" customFormat="false" ht="13.8" hidden="false" customHeight="false" outlineLevel="0" collapsed="false">
      <c r="A18" s="562"/>
      <c r="B18" s="565" t="s">
        <v>2963</v>
      </c>
      <c r="C18" s="566"/>
      <c r="D18" s="567"/>
      <c r="F18" s="571" t="s">
        <v>3482</v>
      </c>
      <c r="G18" s="572"/>
      <c r="H18" s="571" t="s">
        <v>3482</v>
      </c>
      <c r="I18" s="573"/>
    </row>
    <row r="19" customFormat="false" ht="13.8" hidden="false" customHeight="false" outlineLevel="0" collapsed="false">
      <c r="A19" s="562"/>
      <c r="B19" s="565" t="s">
        <v>2965</v>
      </c>
      <c r="C19" s="566"/>
      <c r="D19" s="567"/>
      <c r="F19" s="574" t="s">
        <v>3483</v>
      </c>
      <c r="G19" s="7"/>
      <c r="H19" s="574" t="s">
        <v>3483</v>
      </c>
      <c r="I19" s="575"/>
    </row>
    <row r="20" customFormat="false" ht="13.8" hidden="false" customHeight="false" outlineLevel="0" collapsed="false">
      <c r="A20" s="562"/>
      <c r="B20" s="565" t="s">
        <v>2969</v>
      </c>
      <c r="C20" s="566"/>
      <c r="D20" s="567"/>
      <c r="F20" s="574" t="s">
        <v>3484</v>
      </c>
      <c r="G20" s="7"/>
      <c r="H20" s="574" t="s">
        <v>3484</v>
      </c>
      <c r="I20" s="575"/>
    </row>
    <row r="21" customFormat="false" ht="13.8" hidden="false" customHeight="false" outlineLevel="0" collapsed="false">
      <c r="A21" s="562"/>
      <c r="B21" s="565" t="s">
        <v>2318</v>
      </c>
      <c r="C21" s="566"/>
      <c r="D21" s="567"/>
      <c r="F21" s="574" t="s">
        <v>3485</v>
      </c>
      <c r="G21" s="7"/>
      <c r="H21" s="574" t="s">
        <v>3485</v>
      </c>
      <c r="I21" s="575"/>
    </row>
    <row r="22" customFormat="false" ht="13.8" hidden="false" customHeight="false" outlineLevel="0" collapsed="false">
      <c r="A22" s="562"/>
      <c r="B22" s="565" t="s">
        <v>2971</v>
      </c>
      <c r="C22" s="566"/>
      <c r="D22" s="567"/>
      <c r="F22" s="574" t="s">
        <v>3486</v>
      </c>
      <c r="G22" s="7"/>
      <c r="H22" s="574" t="s">
        <v>3486</v>
      </c>
      <c r="I22" s="575"/>
    </row>
    <row r="23" customFormat="false" ht="13.8" hidden="false" customHeight="false" outlineLevel="0" collapsed="false">
      <c r="A23" s="562"/>
      <c r="B23" s="565" t="s">
        <v>1933</v>
      </c>
      <c r="C23" s="566"/>
      <c r="D23" s="567"/>
      <c r="F23" s="574" t="s">
        <v>3487</v>
      </c>
      <c r="G23" s="7"/>
      <c r="H23" s="574" t="s">
        <v>3487</v>
      </c>
      <c r="I23" s="575"/>
    </row>
    <row r="24" customFormat="false" ht="13.8" hidden="false" customHeight="false" outlineLevel="0" collapsed="false">
      <c r="A24" s="562"/>
      <c r="B24" s="565" t="s">
        <v>2973</v>
      </c>
      <c r="C24" s="566"/>
      <c r="D24" s="567"/>
      <c r="F24" s="574" t="s">
        <v>3488</v>
      </c>
      <c r="G24" s="7"/>
      <c r="H24" s="574" t="s">
        <v>3488</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3489</v>
      </c>
      <c r="G26" s="7"/>
      <c r="H26" s="574" t="s">
        <v>3489</v>
      </c>
      <c r="I26" s="575"/>
    </row>
    <row r="27" customFormat="false" ht="13.8" hidden="false" customHeight="false" outlineLevel="0" collapsed="false">
      <c r="A27" s="562"/>
      <c r="B27" s="565" t="s">
        <v>1329</v>
      </c>
      <c r="C27" s="566"/>
      <c r="D27" s="567"/>
      <c r="F27" s="576" t="s">
        <v>3490</v>
      </c>
      <c r="G27" s="577"/>
      <c r="H27" s="576" t="s">
        <v>3490</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3491</v>
      </c>
    </row>
    <row r="31" customFormat="false" ht="13.8" hidden="false" customHeight="false" outlineLevel="0" collapsed="false">
      <c r="A31" s="562"/>
      <c r="B31" s="565" t="s">
        <v>2323</v>
      </c>
      <c r="C31" s="566"/>
      <c r="D31" s="567"/>
      <c r="F31" s="580" t="s">
        <v>3452</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3492</v>
      </c>
    </row>
    <row r="37" customFormat="false" ht="13.8" hidden="false" customHeight="false" outlineLevel="0" collapsed="false">
      <c r="A37" s="562"/>
      <c r="B37" s="565" t="s">
        <v>2979</v>
      </c>
      <c r="C37" s="566"/>
      <c r="D37" s="567"/>
      <c r="F37" s="580" t="s">
        <v>3493</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3494</v>
      </c>
    </row>
    <row r="40" customFormat="false" ht="13.8" hidden="false" customHeight="false" outlineLevel="0" collapsed="false">
      <c r="A40" s="562"/>
      <c r="B40" s="565" t="s">
        <v>624</v>
      </c>
      <c r="C40" s="566"/>
      <c r="D40" s="567"/>
      <c r="F40" s="582" t="s">
        <v>3495</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3496</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3497</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3498</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3499</v>
      </c>
    </row>
    <row r="1188" customFormat="false" ht="13.8" hidden="false" customHeight="false" outlineLevel="0" collapsed="false">
      <c r="A1188" s="562"/>
      <c r="B1188" s="565" t="s">
        <v>3500</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3501</v>
      </c>
    </row>
    <row r="1229" customFormat="false" ht="13.8" hidden="false" customHeight="false" outlineLevel="0" collapsed="false">
      <c r="A1229" s="562"/>
      <c r="B1229" s="565" t="s">
        <v>3502</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2018-02-06T07:38:30Z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