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900" sheetId="6" state="visible" r:id="rId8"/>
    <sheet name="jgjg" sheetId="7" state="hidden" r:id="rId9"/>
    <sheet name="liste codes réf" sheetId="8" state="hidden" r:id="rId10"/>
  </sheets>
  <definedNames>
    <definedName function="false" hidden="false" localSheetId="5" name="_xlnm.Print_Area" vbProcedure="false">'06215900'!$A$1:$Q$82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<sst xmlns="http://schemas.openxmlformats.org/spreadsheetml/2006/main" count="8833" uniqueCount="3496">
  <si>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</si>
  <si>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</si>
  <si>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</si>
  <si>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</si>
  <si>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</si>
  <si>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</si>
  <si>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</si>
  <si>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</si>
  <si>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</si>
  <si>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</si>
  <si>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</si>
  <si>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</si>
  <si>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</si>
  <si>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</si>
  <si>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</si>
  <si>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</si>
  <si>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</si>
  <si>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</si>
  <si>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</si>
  <si>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</si>
  <si>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</si>
  <si>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</si>
  <si>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</si>
  <si>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</si>
  <si>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</si>
  <si>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</si>
  <si>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</si>
  <si>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</si>
  <si>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</si>
  <si>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</si>
  <si>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</si>
  <si>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</si>
  <si>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</si>
  <si>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</si>
  <si>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</si>
  <si>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</si>
  <si>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</si>
  <si>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</si>
  <si>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</si>
  <si>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</si>
  <si>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</si>
  <si>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</si>
  <si>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</si>
  <si>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</si>
  <si>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</si>
  <si>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</si>
  <si>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</si>
  <si>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</si>
  <si>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</si>
  <si>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</si>
  <si>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</si>
  <si>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</si>
  <si>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</si>
  <si>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</si>
  <si>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</si>
  <si>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</si>
  <si>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</si>
  <si>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</si>
  <si>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</si>
  <si>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</si>
  <si>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</si>
  <si>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</si>
  <si>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</si>
  <si>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</si>
  <si>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</si>
  <si>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</si>
  <si>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</si>
  <si>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</si>
  <si>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</si>
  <si>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</si>
  <si>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</si>
  <si>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</si>
  <si>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</si>
  <si>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</si>
  <si>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</si>
  <si>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</si>
  <si>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</si>
  <si>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</si>
  <si>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</si>
  <si>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</si>
  <si>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</si>
  <si>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</si>
  <si>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</si>
  <si>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</si>
  <si>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</si>
  <si>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</si>
  <si>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</si>
  <si>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</si>
  <si>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</si>
  <si>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</si>
  <si>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</si>
  <si>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</si>
  <si>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</si>
  <si>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</si>
  <si>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</si>
  <si>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</si>
  <si>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</si>
  <si>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</si>
  <si>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</si>
  <si>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</si>
  <si>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</si>
  <si>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</si>
  <si>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</si>
  <si>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</si>
  <si>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</si>
  <si>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</si>
  <si>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</si>
  <si>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</si>
  <si>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</si>
  <si>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</si>
  <si>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</si>
  <si>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</si>
  <si>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</si>
  <si>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</si>
  <si>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</si>
  <si>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</si>
  <si>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</si>
  <si>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</si>
  <si>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</si>
  <si>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</si>
  <si>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</si>
  <si>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</si>
  <si>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</si>
  <si>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</si>
  <si>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</si>
  <si>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</si>
  <si>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</si>
  <si>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</si>
  <si>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</si>
  <si>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</si>
  <si>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</si>
  <si>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</si>
  <si>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</si>
  <si>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</si>
  <si>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</si>
  <si>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</si>
  <si>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</si>
  <si>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</si>
  <si>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</si>
  <si>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</si>
  <si>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</si>
  <si>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</si>
  <si>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</si>
  <si>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</si>
  <si>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</si>
  <si>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</si>
  <si>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</si>
  <si>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</si>
  <si>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</si>
  <si>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</si>
  <si>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</si>
  <si>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</si>
  <si>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</si>
  <si>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</si>
  <si>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</si>
  <si>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</si>
  <si>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</si>
  <si>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</si>
  <si>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</si>
  <si>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</si>
  <si>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</si>
  <si>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</si>
  <si>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</si>
  <si>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</si>
  <si>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</si>
  <si>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</si>
  <si>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</si>
  <si>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</si>
  <si>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</si>
  <si>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</si>
  <si>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</si>
  <si>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</si>
  <si>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</si>
  <si>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</si>
  <si>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</si>
  <si>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</si>
  <si>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</si>
  <si>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</si>
  <si>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</si>
  <si>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</si>
  <si>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</si>
  <si>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</si>
  <si>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</si>
  <si>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</si>
  <si>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</si>
  <si>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</si>
  <si>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</si>
  <si>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</si>
  <si>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</si>
  <si>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</si>
  <si>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</si>
  <si>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</si>
  <si>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</si>
  <si>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</si>
  <si>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</si>
  <si>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</si>
  <si>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</si>
  <si>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</si>
  <si>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</si>
  <si>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</si>
  <si>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</si>
  <si>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</si>
  <si>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</si>
  <si>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</si>
  <si>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</si>
  <si>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</si>
  <si>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</si>
  <si>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</si>
  <si>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</si>
  <si>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</si>
  <si>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</si>
  <si>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</si>
  <si>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</si>
  <si>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</si>
  <si>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</si>
  <si>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</si>
  <si>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</si>
  <si>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</si>
  <si>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</si>
  <si>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</si>
  <si>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</si>
  <si>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</si>
  <si>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</si>
  <si>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</si>
  <si>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</si>
  <si>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</si>
  <si>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</si>
  <si>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</si>
  <si>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</si>
  <si>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</si>
  <si>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</si>
  <si>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</si>
  <si>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</si>
  <si>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</si>
  <si>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</si>
  <si>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</si>
  <si>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</si>
  <si>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</si>
  <si>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</si>
  <si>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</si>
  <si>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</si>
  <si>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</si>
  <si>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</si>
  <si>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</si>
  <si>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</si>
  <si>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</si>
  <si>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</si>
  <si>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</si>
  <si>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</si>
  <si>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</si>
  <si>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</si>
  <si>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</si>
  <si>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</si>
  <si>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</si>
  <si>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</si>
  <si>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</si>
  <si>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</si>
  <si>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</si>
  <si>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</si>
  <si>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</si>
  <si>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</si>
  <si>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</si>
  <si>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</si>
  <si>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</si>
  <si>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</si>
  <si>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</si>
  <si>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</si>
  <si>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</si>
  <si>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</si>
  <si>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</si>
  <si>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</si>
  <si>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</si>
  <si>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</si>
  <si>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</si>
  <si>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</si>
  <si>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</si>
  <si>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</si>
  <si>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</si>
  <si>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</si>
  <si>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</si>
  <si>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</si>
  <si>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</si>
  <si>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</si>
  <si>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</si>
  <si>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</si>
  <si>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</si>
  <si>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</si>
  <si>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</si>
  <si>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</si>
  <si>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</si>
  <si>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</si>
  <si>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</si>
  <si>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</si>
  <si>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</si>
  <si>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</si>
  <si>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</si>
  <si>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</si>
  <si>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</si>
  <si>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</si>
  <si>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</si>
  <si>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</si>
  <si>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</si>
  <si>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</si>
  <si>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</si>
  <si>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</si>
  <si>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</si>
  <si>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</si>
  <si>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</si>
  <si>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</si>
  <si>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</si>
  <si>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</si>
  <si>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</si>
  <si>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</si>
  <si>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</si>
  <si>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</si>
  <si>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</si>
  <si>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</si>
  <si>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</si>
  <si>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</si>
  <si>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</si>
  <si>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</si>
  <si>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</si>
  <si>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</si>
  <si>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</si>
  <si>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</si>
  <si>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</si>
  <si>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</si>
  <si>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</si>
  <si>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</si>
  <si>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</si>
  <si>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</si>
  <si>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</si>
  <si>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</si>
  <si>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</si>
  <si>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</si>
  <si>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</si>
  <si>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</si>
  <si>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</si>
  <si>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</si>
  <si>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</si>
  <si>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</si>
  <si>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</si>
  <si>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</si>
  <si>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</si>
  <si>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</si>
  <si>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</si>
  <si>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</si>
  <si>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</si>
  <si>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</si>
  <si>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</si>
  <si>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</si>
  <si>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</si>
  <si>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</si>
  <si>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</si>
  <si>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</si>
  <si>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</si>
  <si>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</si>
  <si>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</si>
  <si>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</si>
  <si>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</si>
  <si>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</si>
  <si>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</si>
  <si>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</si>
  <si>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</si>
  <si>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</si>
  <si>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</si>
  <si>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</si>
  <si>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</si>
  <si>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</si>
  <si>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</si>
  <si>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</si>
  <si>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</si>
  <si>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</si>
  <si>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</si>
  <si>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</si>
  <si>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</si>
  <si>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</si>
  <si>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</si>
  <si>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</si>
  <si>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</si>
  <si>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</si>
  <si>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</si>
  <si>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</si>
  <si>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</si>
  <si>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</si>
  <si>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</si>
  <si>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</si>
  <si>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</si>
  <si>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</si>
  <si>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</si>
  <si>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</si>
  <si>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</si>
  <si>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</si>
  <si>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</si>
  <si>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</si>
  <si>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</si>
  <si>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</si>
  <si>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</si>
  <si>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</si>
  <si>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</si>
  <si>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</si>
  <si>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</si>
  <si>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</si>
  <si>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</si>
  <si>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</si>
  <si>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</si>
  <si>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</si>
  <si>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</si>
  <si>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</si>
  <si>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</si>
  <si>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</si>
  <si>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</si>
  <si>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</si>
  <si>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</si>
  <si>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</si>
  <si>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</si>
  <si>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</si>
  <si>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</si>
  <si>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</si>
  <si>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</si>
  <si>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</si>
  <si>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</si>
  <si>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</si>
  <si>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</si>
  <si>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</si>
  <si>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</si>
  <si>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</si>
  <si>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</si>
  <si>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</si>
  <si>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</si>
  <si>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</si>
  <si>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</si>
  <si>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</si>
  <si>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</si>
  <si>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</si>
  <si>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</si>
  <si>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</si>
  <si>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</si>
  <si>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</si>
  <si>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</si>
  <si>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</si>
  <si>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</si>
  <si>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</si>
  <si>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</si>
  <si>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</si>
  <si>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</si>
  <si>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</si>
  <si>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</si>
  <si>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</si>
  <si>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</si>
  <si>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</si>
  <si>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</si>
  <si>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</si>
  <si>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</si>
  <si>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</si>
  <si>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</si>
  <si>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</si>
  <si>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</si>
  <si>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</si>
  <si>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</si>
  <si>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</si>
  <si>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</si>
  <si>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</si>
  <si>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</si>
  <si>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</si>
  <si>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</si>
  <si>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</si>
  <si>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</si>
  <si>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</si>
  <si>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</si>
  <si>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</si>
  <si>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</si>
  <si>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</si>
  <si>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</si>
  <si>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</si>
  <si>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</si>
  <si>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</si>
  <si>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</si>
  <si>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</si>
  <si>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</si>
  <si>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</si>
  <si>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</si>
  <si>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</si>
  <si>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</si>
  <si>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</si>
  <si>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</si>
  <si>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</si>
  <si>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</si>
  <si>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</si>
  <si>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</si>
  <si>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</si>
  <si>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</si>
  <si>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</si>
  <si>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</si>
  <si>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</si>
  <si>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</si>
  <si>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</si>
  <si>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</si>
  <si>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</si>
  <si>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</si>
  <si>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</si>
  <si>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</si>
  <si>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</si>
  <si>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</si>
  <si>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</si>
  <si>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</si>
  <si>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</si>
  <si>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</si>
  <si>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</si>
  <si>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</si>
  <si>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</si>
  <si>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</si>
  <si>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</si>
  <si>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</si>
  <si>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</si>
  <si>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</si>
  <si>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</si>
  <si>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</si>
  <si>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</si>
  <si>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</si>
  <si>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</si>
  <si>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</si>
  <si>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</si>
  <si>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</si>
  <si>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</si>
  <si>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</si>
  <si>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</si>
  <si>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</si>
  <si>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</si>
  <si>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</si>
  <si>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</si>
  <si>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</si>
  <si>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</si>
  <si>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</si>
  <si>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</si>
  <si>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</si>
  <si>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</si>
  <si>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</si>
  <si>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</si>
  <si>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</si>
  <si>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</si>
  <si>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</si>
  <si>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</si>
  <si>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</si>
  <si>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</si>
  <si>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</si>
  <si>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</si>
  <si>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</si>
  <si>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</si>
  <si>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</si>
  <si>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</si>
  <si>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</si>
  <si>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</si>
  <si>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</si>
  <si>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</si>
  <si>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</si>
  <si>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</si>
  <si>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</si>
  <si>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</si>
  <si>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</si>
  <si>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</si>
  <si>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</si>
  <si>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</si>
  <si>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</si>
  <si>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</si>
  <si>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</si>
  <si>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</si>
  <si>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</si>
  <si>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</si>
  <si>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</si>
  <si>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</si>
  <si>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</si>
  <si>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</si>
  <si>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</si>
  <si>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</si>
  <si>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</si>
  <si>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</si>
  <si>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</si>
  <si>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</si>
  <si>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</si>
  <si>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</si>
  <si>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</si>
  <si>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</si>
  <si>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</si>
  <si>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</si>
  <si>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</si>
  <si>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</si>
  <si>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</si>
  <si>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</si>
  <si>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</si>
  <si>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</si>
  <si>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</si>
  <si>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</si>
  <si>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</si>
  <si>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</si>
  <si>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</si>
  <si>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</si>
  <si>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</si>
  <si>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</si>
  <si>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</si>
  <si>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</si>
  <si>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</si>
  <si>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</si>
  <si>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</si>
  <si>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</si>
  <si>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</si>
  <si>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</si>
  <si>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</si>
  <si>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</si>
  <si>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</si>
  <si>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</si>
  <si>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</si>
  <si>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</si>
  <si>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</si>
  <si>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</si>
  <si>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</si>
  <si>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</si>
  <si>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</si>
  <si>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</si>
  <si>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</si>
  <si>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</si>
  <si>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</si>
  <si>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</si>
  <si>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</si>
  <si>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</si>
  <si>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</si>
  <si>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</si>
  <si>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</si>
  <si>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</si>
  <si>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</si>
  <si>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</si>
  <si>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</si>
  <si>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</si>
  <si>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</si>
  <si>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</si>
  <si>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</si>
  <si>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</si>
  <si>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</si>
  <si>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</si>
  <si>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</si>
  <si>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</si>
  <si>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</si>
  <si>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</si>
  <si>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</si>
  <si>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</si>
  <si>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</si>
  <si>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</si>
  <si>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</si>
  <si>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</si>
  <si>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</si>
  <si>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</si>
  <si>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</si>
  <si>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</si>
  <si>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</si>
  <si>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</si>
  <si>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</si>
  <si>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</si>
  <si>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</si>
  <si>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</si>
  <si>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</si>
  <si>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</si>
  <si>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</si>
  <si>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</si>
  <si>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</si>
  <si>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</si>
  <si>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</si>
  <si>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</si>
  <si>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</si>
  <si>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</si>
  <si>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</si>
  <si>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</si>
  <si>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</si>
  <si>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</si>
  <si>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</si>
  <si>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</si>
  <si>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</si>
  <si>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</si>
  <si>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</si>
  <si>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</si>
  <si>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</si>
  <si>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</si>
  <si>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</si>
  <si>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</si>
  <si>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</si>
  <si>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</si>
  <si>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</si>
  <si>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</si>
  <si>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</si>
  <si>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</si>
  <si>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</si>
  <si>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</si>
  <si>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</si>
  <si>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</si>
  <si>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</si>
  <si>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</si>
  <si>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</si>
  <si>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</si>
  <si>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</si>
  <si>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</si>
  <si>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</si>
  <si>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</si>
  <si>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</si>
  <si>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</si>
  <si>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</si>
  <si>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</si>
  <si>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</si>
  <si>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</si>
  <si>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</si>
  <si>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</si>
  <si>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</si>
  <si>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</si>
  <si>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</si>
  <si>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</si>
  <si>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</si>
  <si>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</si>
  <si>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</si>
  <si>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</si>
  <si>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</si>
  <si>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</si>
  <si>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</si>
  <si>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</si>
  <si>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</si>
  <si>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</si>
  <si>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</si>
  <si>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</si>
  <si>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</si>
  <si>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</si>
  <si>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</si>
  <si>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</si>
  <si>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</si>
  <si>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</si>
  <si>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</si>
  <si>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</si>
  <si>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</si>
  <si>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</si>
  <si>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</si>
  <si>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</si>
  <si>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</si>
  <si>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</si>
  <si>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</si>
  <si>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</si>
  <si>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</si>
  <si>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</si>
  <si>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</si>
  <si>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</si>
  <si>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</si>
  <si>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</si>
  <si>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</si>
  <si>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</si>
  <si>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</si>
  <si>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</si>
  <si>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</si>
  <si>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</si>
  <si>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</si>
  <si>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</si>
  <si>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</si>
  <si>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</si>
  <si>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</si>
  <si>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</si>
  <si>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</si>
  <si>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</si>
  <si>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</si>
  <si>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</si>
  <si>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</si>
  <si>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</si>
  <si>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</si>
  <si>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</si>
  <si>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</si>
  <si>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</si>
  <si>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</si>
  <si>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</si>
  <si>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</si>
  <si>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</si>
  <si>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</si>
  <si>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</si>
  <si>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</si>
  <si>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</si>
  <si>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</si>
  <si>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</si>
  <si>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</si>
  <si>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</si>
  <si>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</si>
  <si>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</si>
  <si>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</si>
  <si>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</si>
  <si>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</si>
  <si>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</si>
  <si>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</si>
  <si>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</si>
  <si>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</si>
  <si>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</si>
  <si>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</si>
  <si>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</si>
  <si>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</si>
  <si>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</si>
  <si>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</si>
  <si>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</si>
  <si>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</si>
  <si>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</si>
  <si>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</si>
  <si>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</si>
  <si>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</si>
  <si>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</si>
  <si>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</si>
  <si>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</si>
  <si>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</si>
  <si>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</si>
  <si>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</si>
  <si>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</si>
  <si>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</si>
  <si>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</si>
  <si>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</si>
  <si>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</si>
  <si>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</si>
  <si>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</si>
  <si>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</si>
  <si>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</si>
  <si>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</si>
  <si>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</si>
  <si>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</si>
  <si>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</si>
  <si>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</si>
  <si>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</si>
  <si>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</si>
  <si>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</si>
  <si>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</si>
  <si>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</si>
  <si>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</si>
  <si>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</si>
  <si>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</si>
  <si>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</si>
  <si>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</si>
  <si>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</si>
  <si>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</si>
  <si>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</si>
  <si>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</si>
  <si>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</si>
  <si>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</si>
  <si>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</si>
  <si>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</si>
  <si>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</si>
  <si>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</si>
  <si>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</si>
  <si>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</si>
  <si>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</si>
  <si>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</si>
  <si>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</si>
  <si>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</si>
  <si>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</si>
  <si>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</si>
  <si>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</si>
  <si>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</si>
  <si>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</si>
  <si>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</si>
  <si>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</si>
  <si>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</si>
  <si>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</si>
  <si>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</si>
  <si>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</si>
  <si>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</si>
  <si>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</si>
  <si>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</si>
  <si>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</si>
  <si>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</si>
  <si>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</si>
  <si>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</si>
  <si>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</si>
  <si>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</si>
  <si>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</si>
  <si>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</si>
  <si>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</si>
  <si>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</si>
  <si>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</si>
  <si>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</si>
  <si>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</si>
  <si>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</si>
  <si>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</si>
  <si>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</si>
  <si>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</si>
  <si>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</si>
  <si>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</si>
  <si>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</si>
  <si>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</si>
  <si>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</si>
  <si>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</si>
  <si>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</si>
  <si>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</si>
  <si>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</si>
  <si>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</si>
  <si>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</si>
  <si>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</si>
  <si>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</si>
  <si>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</si>
  <si>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</si>
  <si>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</si>
  <si>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</si>
  <si>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</si>
  <si>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</si>
  <si>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</si>
  <si>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</si>
  <si>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</si>
  <si>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</si>
  <si>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</si>
  <si>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</si>
  <si>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</si>
  <si>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</si>
  <si>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</si>
  <si>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</si>
  <si>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</si>
  <si>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</si>
  <si>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</si>
  <si>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</si>
  <si>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</si>
  <si>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</si>
  <si>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</si>
  <si>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</si>
  <si>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</si>
  <si>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</si>
  <si>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</si>
  <si>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</si>
  <si>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</si>
  <si>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</si>
  <si>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</si>
  <si>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</si>
  <si>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</si>
  <si>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</si>
  <si>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</si>
  <si>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</si>
  <si>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</si>
  <si>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</si>
  <si>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</si>
  <si>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</si>
  <si>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</si>
  <si>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</si>
  <si>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</si>
  <si>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</si>
  <si>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</si>
  <si>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</si>
  <si>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</si>
  <si>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</si>
  <si>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</si>
  <si>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</si>
  <si>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</si>
  <si>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</si>
  <si>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</si>
  <si>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</si>
  <si>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</si>
  <si>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</si>
  <si>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</si>
  <si>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</si>
  <si>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</si>
  <si>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</si>
  <si>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</si>
  <si>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</si>
  <si>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</si>
  <si>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</si>
  <si>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</si>
  <si>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</si>
  <si>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</si>
  <si>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</si>
  <si>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</si>
  <si>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</si>
  <si>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</si>
  <si>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</si>
  <si>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</si>
  <si>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</si>
  <si>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</si>
  <si>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</si>
  <si>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</si>
  <si>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</si>
  <si>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</si>
  <si>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</si>
  <si>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</si>
  <si>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</si>
  <si>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</si>
  <si>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</si>
  <si>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</si>
  <si>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</si>
  <si>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</si>
  <si>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</si>
  <si>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</si>
  <si>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</si>
  <si>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</si>
  <si>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</si>
  <si>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</si>
  <si>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</si>
  <si>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</si>
  <si>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</si>
  <si>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</si>
  <si>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</si>
  <si>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</si>
  <si>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</si>
  <si>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</si>
  <si>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</si>
  <si>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</si>
  <si>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</si>
  <si>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</si>
  <si>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</si>
  <si>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</si>
  <si>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</si>
  <si>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</si>
  <si>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</si>
  <si>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</si>
  <si>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</si>
  <si>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</si>
  <si>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</si>
  <si>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</si>
  <si>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</si>
  <si>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</si>
  <si>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</si>
  <si>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</si>
  <si>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</si>
  <si>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</si>
  <si>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</si>
  <si>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</si>
  <si>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</si>
  <si>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</si>
  <si>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</si>
  <si>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</si>
  <si>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</si>
  <si>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</si>
  <si>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</si>
  <si>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</si>
  <si>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</si>
  <si>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</si>
  <si>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</si>
  <si>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</si>
  <si>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</si>
  <si>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</si>
  <si>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</si>
  <si>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</si>
  <si>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</si>
  <si>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</si>
  <si>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</si>
  <si>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</si>
  <si>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</si>
  <si>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</si>
  <si>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</si>
  <si>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</si>
  <si>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</si>
  <si>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</si>
  <si>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</si>
  <si>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</si>
  <si>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</si>
  <si>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</si>
  <si>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</si>
  <si>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</si>
  <si>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</si>
  <si>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</si>
  <si>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</si>
  <si>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</si>
  <si>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</si>
  <si>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</si>
  <si>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</si>
  <si>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</si>
  <si>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</si>
  <si>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</si>
  <si>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</si>
  <si>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</si>
  <si>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</si>
  <si>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</si>
  <si>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</si>
  <si>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</si>
  <si>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</si>
  <si>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</si>
  <si>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</si>
  <si>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</si>
  <si>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</si>
  <si>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</si>
  <si>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</si>
  <si>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</si>
  <si>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</si>
  <si>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</si>
  <si>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</si>
  <si>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</si>
  <si>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</si>
  <si>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</si>
  <si>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</si>
  <si>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</si>
  <si>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</si>
  <si>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</si>
  <si>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</si>
  <si>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</si>
  <si>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</si>
  <si>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</si>
  <si>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</si>
  <si>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</si>
  <si>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</si>
  <si>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</si>
  <si>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</si>
  <si>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</si>
  <si>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</si>
  <si>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</si>
  <si>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</si>
  <si>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</si>
  <si>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</si>
  <si>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</si>
  <si>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</si>
  <si>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</si>
  <si>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</si>
  <si>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</si>
  <si>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</si>
  <si>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</si>
  <si>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</si>
  <si>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</si>
  <si>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</si>
  <si>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</si>
  <si>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</si>
  <si>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</si>
  <si>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</si>
  <si>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</si>
  <si>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</si>
  <si>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</si>
  <si>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</si>
  <si>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</si>
  <si>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</si>
  <si>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</si>
  <si>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</si>
  <si>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</si>
  <si>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</si>
  <si>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</si>
  <si>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</si>
  <si>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</si>
  <si>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</si>
  <si>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</si>
  <si>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</si>
  <si>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</si>
  <si>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</si>
  <si>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</si>
  <si>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</si>
  <si>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</si>
  <si>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</si>
  <si>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</si>
  <si>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</si>
  <si>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</si>
  <si>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</si>
  <si>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</si>
  <si>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</si>
  <si>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</si>
  <si>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</si>
  <si>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</si>
  <si>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</si>
  <si>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</si>
  <si>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</si>
  <si>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</si>
  <si>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</si>
  <si>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</si>
  <si>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</si>
  <si>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</si>
  <si>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</si>
  <si>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</si>
  <si>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</si>
  <si>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</si>
  <si>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</si>
  <si>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</si>
  <si>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</si>
  <si>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</si>
  <si>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</si>
  <si>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</si>
  <si>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</si>
  <si>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</si>
  <si>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</si>
  <si>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</si>
  <si>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</si>
  <si>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</si>
  <si>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</si>
  <si>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</si>
  <si>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</si>
  <si>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</si>
  <si>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</si>
  <si>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</si>
  <si>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</si>
  <si>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</si>
  <si>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</si>
  <si>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</si>
  <si>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</si>
  <si>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</si>
  <si>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</si>
  <si>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</si>
  <si>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</si>
  <si>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</si>
  <si>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</si>
  <si>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</si>
  <si>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</si>
  <si>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</si>
  <si>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</si>
  <si>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</si>
  <si>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</si>
  <si>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</si>
  <si>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</si>
  <si>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</si>
  <si>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</si>
  <si>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</si>
  <si>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</si>
  <si>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</si>
  <si>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</si>
  <si>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</si>
  <si>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</si>
  <si>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</si>
  <si>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</si>
  <si>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</si>
  <si>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</si>
  <si>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</si>
  <si>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</si>
  <si>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</si>
  <si>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</si>
  <si>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</si>
  <si>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</si>
  <si>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</si>
  <si>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</si>
  <si>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</si>
  <si>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</si>
  <si>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</si>
  <si>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</si>
  <si>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</si>
  <si>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</si>
  <si>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</si>
  <si>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</si>
  <si>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</si>
  <si>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</si>
  <si>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</si>
  <si>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</si>
  <si>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</si>
  <si>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</si>
  <si>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</si>
  <si>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</si>
  <si>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</si>
  <si>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</si>
  <si>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</si>
  <si>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</si>
  <si>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</si>
  <si>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</si>
  <si>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</si>
  <si>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</si>
  <si>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</si>
  <si>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</si>
  <si>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</si>
  <si>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</si>
  <si>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</si>
  <si>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</si>
  <si>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</si>
  <si>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</si>
  <si>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</si>
  <si>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</si>
  <si>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</si>
  <si>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</si>
  <si>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</si>
  <si>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</si>
  <si>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</si>
  <si>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</si>
  <si>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</si>
  <si>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</si>
  <si>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</si>
  <si>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</si>
  <si>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</si>
  <si>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</si>
  <si>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</si>
  <si>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</si>
  <si>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</si>
  <si>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</si>
  <si>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</si>
  <si>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</si>
  <si>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</si>
  <si>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</si>
  <si>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</si>
  <si>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</si>
  <si>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</si>
  <si>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</si>
  <si>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</si>
  <si>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</si>
  <si>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</si>
  <si>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</si>
  <si>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</si>
  <si>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</si>
  <si>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</si>
  <si>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</si>
  <si>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</si>
  <si>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</si>
  <si>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</si>
  <si>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</si>
  <si>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</si>
  <si>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</si>
  <si>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</si>
  <si>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</si>
  <si>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</si>
  <si>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</si>
  <si>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</si>
  <si>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</si>
  <si>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</si>
  <si>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</si>
  <si>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</si>
  <si>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</si>
  <si>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</si>
  <si>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</si>
  <si>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</si>
  <si>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</si>
  <si>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</si>
  <si>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</si>
  <si>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</si>
  <si>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</si>
  <si>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</si>
  <si>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</si>
  <si>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</si>
  <si>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</si>
  <si>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</si>
  <si>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</si>
  <si>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</si>
  <si>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</si>
  <si>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</si>
  <si>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</si>
  <si>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</si>
  <si>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</si>
  <si>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</si>
  <si>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</si>
  <si>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</si>
  <si>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</si>
  <si>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</si>
  <si>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</si>
  <si>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</si>
  <si>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</si>
  <si>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</si>
  <si>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</si>
  <si>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</si>
  <si>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</si>
  <si>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</si>
  <si>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</si>
  <si>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</si>
  <si>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</si>
  <si>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</si>
  <si>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</si>
  <si>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</si>
  <si>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</si>
  <si>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</si>
  <si>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</si>
  <si>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</si>
  <si>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</si>
  <si>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</si>
  <si>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</si>
  <si>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</si>
  <si>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</si>
  <si>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</si>
  <si>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</si>
  <si>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</si>
  <si>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</si>
  <si>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</si>
  <si>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</si>
  <si>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</si>
  <si>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</si>
  <si>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</si>
  <si>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</si>
  <si>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</si>
  <si>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</si>
  <si>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</si>
  <si>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</si>
  <si>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</si>
  <si>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</si>
  <si>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</si>
  <si>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</si>
  <si>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</si>
  <si>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</si>
  <si>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</si>
  <si>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</si>
  <si>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</si>
  <si>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</si>
  <si>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</si>
  <si>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</si>
  <si>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</si>
  <si>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</si>
  <si>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</si>
  <si>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</si>
  <si>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</si>
  <si>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</si>
  <si>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</si>
  <si>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</si>
  <si>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</si>
  <si>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</si>
  <si>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</si>
  <si>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</si>
  <si>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</si>
  <si>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</si>
  <si>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</si>
  <si>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</si>
  <si>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</si>
  <si>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</si>
  <si>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</si>
  <si>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</si>
  <si>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</si>
  <si>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</si>
  <si>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</si>
  <si>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</si>
  <si>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</si>
  <si>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</si>
  <si>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</si>
  <si>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</si>
  <si>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</si>
  <si>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</si>
  <si>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</si>
  <si>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</si>
  <si>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</si>
  <si>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</si>
  <si>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</si>
  <si>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</si>
  <si>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</si>
  <si>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</si>
  <si>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</si>
  <si>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</si>
  <si>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</si>
  <si>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</si>
  <si>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</si>
  <si>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</si>
  <si>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</si>
  <si>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</si>
  <si>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</si>
  <si>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</si>
  <si>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</si>
  <si>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</si>
  <si>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</si>
  <si>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</si>
  <si>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</si>
  <si>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</si>
  <si>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</si>
  <si>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</si>
  <si>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</si>
  <si>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</si>
  <si>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</si>
  <si>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</si>
  <si>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</si>
  <si>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</si>
  <si>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</si>
  <si>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</si>
  <si>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</si>
  <si>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</si>
  <si>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</si>
  <si>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</si>
  <si>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</si>
  <si>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</si>
  <si>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</si>
  <si>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</si>
  <si>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</si>
  <si>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</si>
  <si>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</si>
  <si>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</si>
  <si>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</si>
  <si>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</si>
  <si>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</si>
  <si>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</si>
  <si>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</si>
  <si>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</si>
  <si>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</si>
  <si>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</si>
  <si>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</si>
  <si>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</si>
  <si>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</si>
  <si>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</si>
  <si>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</si>
  <si>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</si>
  <si>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</si>
  <si>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</si>
  <si>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</si>
  <si>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</si>
  <si>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</si>
  <si>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</si>
  <si>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</si>
  <si>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</si>
  <si>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</si>
  <si>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</si>
  <si>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</si>
  <si>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</si>
  <si>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</si>
  <si>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</si>
  <si>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</si>
  <si>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</si>
  <si>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</si>
  <si>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</si>
  <si>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</si>
  <si>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</si>
  <si>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</si>
  <si>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</si>
  <si>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</si>
  <si>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</si>
  <si>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</si>
  <si>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</si>
  <si>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</si>
  <si>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</si>
  <si>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</si>
  <si>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</si>
  <si>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</si>
  <si>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</si>
  <si>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</si>
  <si>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</si>
  <si>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</si>
  <si>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</si>
  <si>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</si>
  <si>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</si>
  <si>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</si>
  <si>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</si>
  <si>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</si>
  <si>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</si>
  <si>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</si>
  <si>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</si>
  <si>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</si>
  <si>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</si>
  <si>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</si>
  <si>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</si>
  <si>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</si>
  <si>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</si>
  <si>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</si>
  <si>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</si>
  <si>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</si>
  <si>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</si>
  <si>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</si>
  <si>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</si>
  <si>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</si>
  <si>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</si>
  <si>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</si>
  <si>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</si>
  <si>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</si>
  <si>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</si>
  <si>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</si>
  <si>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</si>
  <si>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</si>
  <si>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</si>
  <si>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</si>
  <si>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</si>
  <si>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</si>
  <si>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</si>
  <si>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</si>
  <si>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</si>
  <si>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</si>
  <si>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</si>
  <si>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</si>
  <si>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</si>
  <si>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</si>
  <si>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</si>
  <si>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</si>
  <si>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</si>
  <si>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</si>
  <si>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</si>
  <si>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</si>
  <si>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</si>
  <si>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</si>
  <si>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</si>
  <si>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</si>
  <si>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</si>
  <si>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</si>
  <si>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</si>
  <si>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</si>
  <si>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</si>
  <si>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</si>
  <si>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</si>
  <si>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</si>
  <si>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</si>
  <si>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</si>
  <si>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</si>
  <si>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</si>
  <si>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</si>
  <si>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</si>
  <si>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</si>
  <si>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</si>
  <si>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</si>
  <si>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</si>
  <si>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</si>
  <si>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</si>
  <si>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</si>
  <si>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</si>
  <si>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</si>
  <si>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</si>
  <si>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</si>
  <si>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</si>
  <si>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</si>
  <si>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</si>
  <si>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</si>
  <si>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</si>
  <si>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</si>
  <si>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</si>
  <si>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</si>
  <si>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</si>
  <si>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</si>
  <si>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</si>
  <si>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</si>
  <si>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</si>
  <si>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</si>
  <si>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</si>
  <si>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</si>
  <si>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</si>
  <si>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</si>
  <si>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</si>
  <si>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</si>
  <si>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</si>
  <si>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</si>
  <si>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</si>
  <si>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</si>
  <si>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</si>
  <si>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</si>
  <si>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</si>
  <si>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</si>
  <si>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</si>
  <si>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</si>
  <si>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</si>
  <si>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</si>
  <si>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</si>
  <si>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</si>
  <si>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</si>
  <si>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</si>
  <si>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</si>
  <si>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</si>
  <si>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</si>
  <si>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</si>
  <si>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</si>
  <si>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</si>
  <si>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</si>
  <si>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</si>
  <si>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</si>
  <si>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</si>
  <si>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</si>
  <si>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</si>
  <si>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</si>
  <si>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</si>
  <si>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</si>
  <si>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</si>
  <si>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</si>
  <si>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</si>
  <si>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</si>
  <si>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</si>
  <si>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</si>
  <si>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</si>
  <si>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</si>
  <si>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</si>
  <si>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</si>
  <si>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</si>
  <si>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</si>
  <si>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</si>
  <si>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</si>
  <si>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</si>
  <si>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</si>
  <si>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</si>
  <si>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</si>
  <si>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</si>
  <si>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</si>
  <si>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</si>
  <si>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</si>
  <si>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</si>
  <si>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</si>
  <si>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</si>
  <si>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</si>
  <si>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</si>
  <si>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</si>
  <si>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</si>
  <si>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</si>
  <si>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</si>
  <si>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</si>
  <si>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</si>
  <si>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</si>
  <si>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</si>
  <si>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</si>
  <si>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</si>
  <si>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</si>
  <si>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</si>
  <si>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</si>
  <si>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</si>
  <si>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</si>
  <si>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</si>
  <si>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</si>
  <si>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</si>
  <si>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</si>
  <si>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</si>
  <si>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</si>
  <si>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</si>
  <si>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</si>
  <si>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</si>
  <si>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</si>
  <si>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</si>
  <si>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</si>
  <si>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</si>
  <si>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</si>
  <si>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</si>
  <si>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</si>
  <si>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</si>
  <si>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</si>
  <si>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</si>
  <si>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</si>
  <si>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</si>
  <si>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</si>
  <si>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</si>
  <si>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</si>
  <si>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</si>
  <si>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</si>
  <si>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</si>
  <si>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</si>
  <si>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</si>
  <si>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</si>
  <si>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</si>
  <si>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</si>
  <si>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</si>
  <si>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</si>
  <si>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</si>
  <si>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</si>
  <si>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</si>
  <si>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</si>
  <si>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</si>
  <si>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</si>
  <si>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</si>
  <si>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</si>
  <si>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</si>
  <si>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</si>
  <si>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</si>
  <si>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</si>
  <si>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</si>
  <si>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</si>
  <si>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</si>
  <si>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</si>
  <si>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</si>
  <si>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</si>
  <si>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</si>
  <si>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</si>
  <si>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</si>
  <si>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</si>
  <si>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</si>
  <si>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</si>
  <si>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</si>
  <si>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</si>
  <si>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</si>
  <si>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</si>
  <si>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</si>
  <si>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</si>
  <si>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</si>
  <si>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</si>
  <si>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</si>
  <si>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</si>
  <si>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</si>
  <si>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</si>
  <si>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</si>
  <si>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</si>
  <si>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</si>
  <si>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</si>
  <si>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</si>
  <si>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</si>
  <si>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</si>
  <si>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</si>
  <si>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</si>
  <si>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</si>
  <si>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</si>
  <si>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</si>
  <si>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</si>
  <si>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</si>
  <si>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</si>
  <si>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</si>
  <si>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</si>
  <si>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</si>
  <si>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</si>
  <si>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</si>
  <si>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</si>
  <si>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</si>
  <si>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</si>
  <si>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</si>
  <si>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</si>
  <si>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</si>
  <si>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</si>
  <si>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</si>
  <si>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</si>
  <si>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</si>
  <si>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</si>
  <si>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</si>
  <si>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</si>
  <si>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</si>
  <si>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</si>
  <si>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</si>
  <si>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</si>
  <si>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</si>
  <si>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</si>
  <si>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</si>
  <si>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</si>
  <si>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</si>
  <si>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</si>
  <si>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</si>
  <si>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</si>
  <si>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</si>
  <si>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</si>
  <si>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</si>
  <si>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</si>
  <si>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</si>
  <si>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</si>
  <si>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</si>
  <si>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</si>
  <si>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</si>
  <si>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</si>
  <si>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</si>
  <si>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</si>
  <si>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</si>
  <si>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</si>
  <si>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</si>
  <si>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</si>
  <si>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</si>
  <si>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</si>
  <si>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</si>
  <si>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</si>
  <si>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</si>
  <si>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</si>
  <si>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</si>
  <si>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</si>
  <si>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</si>
  <si>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</si>
  <si>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</si>
  <si>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</si>
  <si>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</si>
  <si>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</si>
  <si>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</si>
  <si>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</si>
  <si>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</si>
  <si>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</si>
  <si>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</si>
  <si>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</si>
  <si>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</si>
  <si>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</si>
  <si>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</si>
  <si>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</si>
  <si>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</si>
  <si>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</si>
  <si>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</si>
  <si>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</si>
  <si>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</si>
  <si>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</si>
  <si>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</si>
  <si>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</si>
  <si>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</si>
  <si>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</si>
  <si>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</si>
  <si>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</si>
  <si>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</si>
  <si>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</si>
  <si>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</si>
  <si>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</si>
  <si>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</si>
  <si>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</si>
  <si>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</si>
  <si>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</si>
  <si>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</si>
  <si>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</si>
  <si>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</si>
  <si>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</si>
  <si>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</si>
  <si>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</si>
  <si>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</si>
  <si>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</si>
  <si>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</si>
  <si>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</si>
  <si>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</si>
  <si>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</si>
  <si>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</si>
  <si>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</si>
  <si>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</si>
  <si>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</si>
  <si>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</si>
  <si>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</si>
  <si>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</si>
  <si>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</si>
  <si>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</si>
  <si>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</si>
  <si>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</si>
  <si>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</si>
  <si>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</si>
  <si>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</si>
  <si>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</si>
  <si>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</si>
  <si>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</si>
  <si>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</si>
  <si>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</si>
  <si>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</si>
  <si>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</si>
  <si>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</si>
  <si>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</si>
  <si>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</si>
  <si>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</si>
  <si>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</si>
  <si>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</si>
  <si>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</si>
  <si>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</si>
  <si>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</si>
  <si>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</si>
  <si>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</si>
  <si>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</si>
  <si>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</si>
  <si>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</si>
  <si>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</si>
  <si>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</si>
  <si>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</si>
  <si>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</si>
  <si>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</si>
  <si>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</si>
  <si>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</si>
  <si>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</si>
  <si>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</si>
  <si>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</si>
  <si>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</si>
  <si>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</si>
  <si>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</si>
  <si>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</si>
  <si>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</si>
  <si>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</si>
  <si>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</si>
  <si>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</si>
  <si>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</si>
  <si>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</si>
  <si>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</si>
  <si>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</si>
  <si>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</si>
  <si>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</si>
  <si>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</si>
  <si>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</si>
  <si>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</si>
  <si>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</si>
  <si>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</si>
  <si>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</si>
  <si>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</si>
  <si>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</si>
  <si>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</si>
  <si>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</si>
  <si>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</si>
  <si>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</si>
  <si>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</si>
  <si>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</si>
  <si>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</si>
  <si>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</si>
  <si>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</si>
  <si>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</si>
  <si>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</si>
  <si>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</si>
  <si>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</si>
  <si>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</si>
  <si>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</si>
  <si>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</si>
  <si>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</si>
  <si>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</si>
  <si>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</si>
  <si>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</si>
  <si>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</si>
  <si>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</si>
  <si>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</si>
  <si>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</si>
  <si>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</si>
  <si>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</si>
  <si>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</si>
  <si>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</si>
  <si>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</si>
  <si>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</si>
  <si>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</si>
  <si>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</si>
  <si>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</si>
  <si>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</si>
  <si>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</si>
  <si>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</si>
  <si>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</si>
  <si>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</si>
  <si>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</si>
  <si>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</si>
  <si>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</si>
  <si>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</si>
  <si>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</si>
  <si>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</si>
  <si>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</si>
  <si>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</si>
  <si>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</si>
  <si>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</si>
  <si>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</si>
  <si>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</si>
  <si>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</si>
  <si>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</si>
  <si>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</si>
  <si>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</si>
  <si>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</si>
  <si>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</si>
  <si>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</si>
  <si>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</si>
  <si>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</si>
  <si>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</si>
  <si>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</si>
  <si>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</si>
  <si>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</si>
  <si>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</si>
  <si>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</si>
  <si>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</si>
  <si>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</si>
  <si>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</si>
  <si>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</si>
  <si>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</si>
  <si>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</si>
  <si>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</si>
  <si>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</si>
  <si>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</si>
  <si>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</si>
  <si>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</si>
  <si>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</si>
  <si>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</si>
  <si>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</si>
  <si>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</si>
  <si>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</si>
  <si>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</si>
  <si>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</si>
  <si>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</si>
  <si>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</si>
  <si>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</si>
  <si>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</si>
  <si>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</si>
  <si>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</si>
  <si>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</si>
  <si>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</si>
  <si>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</si>
  <si>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</si>
  <si>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</si>
  <si>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</si>
  <si>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</si>
  <si>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</si>
  <si>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</si>
  <si>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</si>
  <si>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</si>
  <si>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</si>
  <si>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</si>
  <si>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</si>
  <si>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</si>
  <si>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</si>
  <si>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</si>
  <si>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</si>
  <si>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</si>
  <si>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</si>
  <si>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</si>
  <si>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</si>
  <si>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</si>
  <si>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</si>
  <si>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</si>
  <si>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</si>
  <si>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</si>
  <si>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</si>
  <si>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</si>
  <si>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</si>
  <si>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</si>
  <si>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</si>
  <si>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</si>
  <si>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</si>
  <si>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</si>
  <si>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</si>
  <si>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</si>
  <si>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</si>
  <si>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</si>
  <si>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</si>
  <si>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</si>
  <si>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</si>
  <si>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</si>
  <si>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</si>
  <si>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</si>
  <si>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</si>
  <si>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</si>
  <si>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</si>
  <si>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</si>
  <si>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</si>
  <si>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</si>
  <si>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</si>
  <si>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</si>
  <si>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</si>
  <si>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</si>
  <si>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</si>
  <si>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</si>
  <si>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</si>
  <si>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</si>
  <si>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</si>
  <si>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</si>
  <si>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</si>
  <si>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</si>
  <si>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</si>
  <si>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</si>
  <si>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</si>
  <si>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</si>
  <si>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</si>
  <si>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</si>
  <si>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</si>
  <si>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</si>
  <si>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</si>
  <si>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</si>
  <si>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</si>
  <si>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</si>
  <si>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</si>
  <si>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</si>
  <si>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</si>
  <si>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</si>
  <si>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</si>
  <si>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</si>
  <si>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</si>
  <si>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</si>
  <si>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</si>
  <si>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</si>
  <si>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</si>
  <si>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</si>
  <si>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</si>
  <si>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</si>
  <si>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</si>
  <si>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</si>
  <si>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</si>
  <si>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</si>
  <si>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</si>
  <si>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</si>
  <si>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</si>
  <si>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</si>
  <si>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</si>
  <si>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</si>
  <si>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</si>
  <si>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</si>
  <si>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</si>
  <si>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</si>
  <si>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</si>
  <si>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</si>
  <si>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</si>
  <si>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</si>
  <si>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</si>
  <si>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</si>
  <si>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</si>
  <si>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</si>
  <si>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</si>
  <si>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</si>
  <si>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</si>
  <si>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</si>
  <si>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</si>
  <si>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</si>
  <si>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</si>
  <si>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</si>
  <si>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</si>
  <si>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</si>
  <si>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</si>
  <si>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</si>
  <si>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</si>
  <si>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</si>
  <si>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</si>
  <si>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</si>
  <si>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</si>
  <si>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</si>
  <si>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</si>
  <si>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</si>
  <si>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</si>
  <si>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</si>
  <si>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</si>
  <si>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</si>
  <si>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</si>
  <si>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</si>
  <si>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</si>
  <si>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</si>
  <si>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</si>
  <si>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</si>
  <si>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</si>
  <si>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</si>
  <si>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</si>
  <si>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</si>
  <si>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</si>
  <si>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</si>
  <si>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</si>
  <si>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</si>
  <si>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</si>
  <si>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</si>
  <si>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</si>
  <si>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</si>
  <si>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</si>
  <si>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</si>
  <si>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</si>
  <si>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</si>
  <si>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</si>
  <si>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</si>
  <si>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</si>
  <si>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</si>
  <si>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</si>
  <si>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</si>
  <si>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</si>
  <si>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</si>
  <si>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</si>
  <si>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</si>
  <si>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</si>
  <si>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</si>
  <si>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</si>
  <si>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</si>
  <si>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</si>
  <si>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</si>
  <si>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</si>
  <si>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</si>
  <si>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</si>
  <si>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</si>
  <si>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</si>
  <si>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</si>
  <si>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</si>
  <si>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</si>
  <si>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</si>
  <si>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</si>
  <si>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</si>
  <si>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</si>
  <si>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</si>
  <si>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</si>
  <si>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</si>
  <si>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</si>
  <si>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</si>
  <si>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</si>
  <si>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</si>
  <si>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</si>
  <si>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</si>
  <si>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</si>
  <si>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</si>
  <si>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</si>
  <si>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</si>
  <si>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</si>
  <si>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</si>
  <si>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</si>
  <si>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</si>
  <si>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</si>
  <si>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</si>
  <si>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</si>
  <si>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</si>
  <si>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</si>
  <si>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</si>
  <si>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</si>
  <si>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</si>
  <si>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</si>
  <si>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</si>
  <si>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</si>
  <si>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</si>
  <si>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</si>
  <si>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</si>
  <si>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</si>
  <si>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</si>
  <si>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</si>
  <si>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</si>
  <si>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</si>
  <si>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</si>
  <si>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</si>
  <si>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</si>
  <si>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</si>
  <si>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</si>
  <si>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</si>
  <si>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</si>
  <si>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</si>
  <si>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</si>
  <si>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</si>
  <si>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</si>
  <si>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</si>
  <si>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</si>
  <si>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</si>
  <si>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</si>
  <si>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</si>
  <si>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</si>
  <si>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</si>
  <si>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</si>
  <si>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</si>
  <si>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</si>
  <si>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</si>
  <si>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</si>
  <si>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</si>
  <si>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</si>
  <si>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</si>
  <si>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</si>
  <si>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</si>
  <si>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</si>
  <si>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</si>
  <si>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</si>
  <si>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</si>
  <si>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</si>
  <si>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</si>
  <si>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</si>
  <si>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</si>
  <si>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</si>
  <si>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</si>
  <si>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</si>
  <si>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</si>
  <si>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</si>
  <si>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</si>
  <si>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</si>
  <si>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</si>
  <si>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</si>
  <si>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</si>
  <si>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</si>
  <si>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</si>
  <si>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</si>
  <si>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</si>
  <si>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</si>
  <si>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</si>
  <si>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</si>
  <si>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</si>
  <si>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</si>
  <si>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</si>
  <si>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</si>
  <si>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</si>
  <si>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</si>
  <si>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</si>
  <si>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</si>
  <si>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</si>
  <si>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</si>
  <si>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</si>
  <si>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</si>
  <si>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</si>
  <si>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</si>
  <si>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</si>
  <si>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</si>
  <si>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</si>
  <si>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</si>
  <si>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</si>
  <si>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</si>
  <si>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</si>
  <si>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</si>
  <si>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</si>
  <si>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</si>
  <si>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</si>
  <si>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</si>
  <si>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</si>
  <si>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</si>
  <si>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</si>
  <si>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</si>
  <si>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</si>
  <si>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</si>
  <si>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</si>
  <si>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</si>
  <si>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</si>
  <si>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</si>
  <si>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</si>
  <si>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</si>
  <si>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</si>
  <si>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</si>
  <si>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</si>
  <si>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</si>
  <si>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</si>
  <si>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</si>
  <si>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</si>
  <si>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</si>
  <si>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</si>
  <si>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</si>
  <si>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</si>
  <si>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</si>
  <si>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</si>
  <si>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</si>
  <si>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</si>
  <si>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</si>
  <si>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</si>
  <si>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</si>
  <si>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</si>
  <si>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</si>
  <si>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</si>
  <si>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</si>
  <si>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</si>
  <si>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</si>
  <si>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</si>
  <si>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</si>
  <si>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</si>
  <si>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</si>
  <si>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</si>
  <si>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</si>
  <si>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</si>
  <si>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</si>
  <si>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</si>
  <si>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</si>
  <si>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</si>
  <si>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</si>
  <si>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</si>
  <si>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</si>
  <si>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</si>
  <si>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</si>
  <si>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</si>
  <si>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</si>
  <si>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</si>
  <si>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</si>
  <si>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</si>
  <si>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</si>
  <si>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</si>
  <si>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</si>
  <si>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</si>
  <si>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</si>
  <si>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</si>
  <si>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</si>
  <si>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</si>
  <si>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</si>
  <si>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</si>
  <si>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</si>
  <si>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</si>
  <si>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</si>
  <si>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</si>
  <si>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</si>
  <si>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</si>
  <si>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</si>
  <si>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</si>
  <si>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</si>
  <si>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</si>
  <si>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</si>
  <si>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</si>
  <si>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</si>
  <si>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</si>
  <si>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</si>
  <si>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</si>
  <si>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</si>
  <si>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</si>
  <si>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</si>
  <si>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</si>
  <si>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</si>
  <si>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</si>
  <si>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</si>
  <si>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</si>
  <si>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</si>
  <si>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</si>
  <si>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</si>
  <si>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</si>
  <si>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</si>
  <si>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</si>
  <si>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</si>
  <si>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</si>
  <si>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</si>
  <si>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</si>
  <si>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</si>
  <si>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</si>
  <si>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</si>
  <si>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</si>
  <si>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</si>
  <si>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</si>
  <si>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</si>
  <si>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</si>
  <si>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</si>
  <si>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</si>
  <si>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</si>
  <si>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</si>
  <si>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</si>
  <si>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</si>
  <si>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</si>
  <si>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</si>
  <si>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</si>
  <si>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</si>
  <si>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</si>
  <si>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</si>
  <si>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</si>
  <si>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</si>
  <si>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</si>
  <si>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</si>
  <si>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</si>
  <si>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</si>
  <si>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</si>
  <si>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</si>
  <si>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</si>
  <si>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</si>
  <si>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</si>
  <si>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</si>
  <si>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</si>
  <si>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</si>
  <si>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</si>
  <si>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</si>
  <si>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</si>
  <si>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</si>
  <si>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</si>
  <si>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</si>
  <si>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</si>
  <si>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</si>
  <si>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</si>
  <si>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</si>
  <si>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</si>
  <si>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</si>
  <si>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</si>
  <si>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</si>
  <si>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</si>
  <si>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</si>
  <si>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</si>
  <si>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</si>
  <si>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</si>
  <si>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</si>
  <si>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</si>
  <si>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</si>
  <si>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</si>
  <si>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</si>
  <si>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</si>
  <si>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</si>
  <si>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</si>
  <si>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</si>
  <si>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</si>
  <si>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</si>
  <si>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</si>
  <si>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</si>
  <si>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</si>
  <si>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</si>
  <si>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</si>
  <si>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</si>
  <si>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</si>
  <si>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</si>
  <si>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</si>
  <si>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</si>
  <si>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</si>
  <si>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</si>
  <si>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</si>
  <si>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</si>
  <si>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</si>
  <si>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</si>
  <si>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</si>
  <si>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</si>
  <si>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</si>
  <si>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</si>
  <si>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</si>
  <si>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</si>
  <si>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</si>
  <si>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</si>
  <si>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</si>
  <si>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</si>
  <si>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</si>
  <si>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</si>
  <si>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</si>
  <si>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</si>
  <si>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</si>
  <si>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</si>
  <si>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</si>
  <si>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</si>
  <si>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</si>
  <si>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</si>
  <si>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</si>
  <si>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</si>
  <si>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</si>
  <si>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</si>
  <si>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</si>
  <si>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</si>
  <si>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</si>
  <si>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</si>
  <si>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</si>
  <si>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</si>
  <si>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</si>
  <si>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</si>
  <si>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</si>
  <si>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</si>
  <si>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</si>
  <si>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</si>
  <si>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</si>
  <si>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</si>
  <si>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</si>
  <si>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</si>
  <si>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</si>
  <si>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</si>
  <si>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</si>
  <si>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</si>
  <si>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</si>
  <si>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</si>
  <si>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</si>
  <si>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</si>
  <si>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</si>
  <si>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</si>
  <si>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</si>
  <si>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</si>
  <si>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</si>
  <si>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</si>
  <si>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</si>
  <si>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</si>
  <si>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</si>
  <si>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</si>
  <si>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</si>
  <si>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</si>
  <si>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</si>
  <si>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</si>
  <si>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</si>
  <si>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</si>
  <si>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</si>
  <si>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</si>
  <si>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</si>
  <si>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</si>
  <si>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</si>
  <si>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</si>
  <si>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</si>
  <si>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</si>
  <si>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</si>
  <si>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</si>
  <si>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</si>
  <si>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</si>
  <si>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</si>
  <si>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</si>
  <si>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</si>
  <si>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</si>
  <si>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</si>
  <si>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</si>
  <si>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</si>
  <si>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</si>
  <si>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</si>
  <si>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</si>
  <si>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</si>
  <si>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</si>
  <si>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</si>
  <si>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</si>
  <si>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</si>
  <si>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</si>
  <si>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</si>
  <si>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</si>
  <si>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</si>
  <si>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</si>
  <si>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</si>
  <si>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</si>
  <si>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</si>
  <si>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</si>
  <si>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</si>
  <si>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</si>
  <si>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</si>
  <si>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</si>
  <si>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</si>
  <si>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</si>
  <si>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</si>
  <si>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</si>
  <si>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</si>
  <si>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</si>
  <si>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</si>
  <si>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</si>
  <si>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</si>
  <si>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</si>
  <si>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</si>
  <si>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</si>
  <si>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</si>
  <si>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</si>
  <si>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</si>
  <si>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</si>
  <si>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</si>
  <si>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</si>
  <si>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</si>
  <si>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</si>
  <si>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</si>
  <si>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</si>
  <si>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</si>
  <si>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</si>
  <si>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</si>
  <si>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</si>
  <si>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</si>
  <si>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</si>
  <si>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</si>
  <si>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</si>
  <si>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</si>
  <si>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</si>
  <si>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</si>
  <si>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</si>
  <si>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</si>
  <si>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</si>
  <si>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</si>
  <si>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</si>
  <si>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</si>
  <si>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</si>
  <si>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</si>
  <si>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</si>
  <si>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</si>
  <si>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</si>
  <si>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</si>
  <si>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</si>
  <si>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</si>
  <si>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</si>
  <si>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</si>
  <si>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</si>
  <si>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</si>
  <si>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</si>
  <si>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</si>
  <si>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</si>
  <si>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</si>
  <si>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</si>
  <si>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</si>
  <si>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</si>
  <si>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</si>
  <si>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</si>
  <si>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</si>
  <si>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</si>
  <si>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</si>
  <si>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</si>
  <si>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</si>
  <si>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</si>
  <si>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</si>
  <si>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</si>
  <si>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</si>
  <si>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</si>
  <si>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</si>
  <si>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</si>
  <si>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</si>
  <si>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</si>
  <si>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</si>
  <si>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</si>
  <si>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</si>
  <si>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</si>
  <si>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</si>
  <si>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</si>
  <si>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</si>
  <si>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</si>
  <si>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</si>
  <si>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</si>
  <si>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</si>
  <si>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</si>
  <si>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</si>
  <si>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</si>
  <si>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</si>
  <si>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</si>
  <si>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</si>
  <si>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</si>
  <si>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</si>
  <si>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</si>
  <si>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</si>
  <si>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</si>
  <si>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</si>
  <si>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</si>
  <si>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</si>
  <si>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</si>
  <si>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</si>
  <si>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</si>
  <si>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</si>
  <si>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</si>
  <si>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</si>
  <si>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</si>
  <si>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</si>
  <si>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</si>
  <si>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</si>
  <si>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</si>
  <si>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</si>
  <si>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</si>
  <si>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</si>
  <si>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</si>
  <si>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</si>
  <si>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</si>
  <si>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</si>
  <si>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</si>
  <si>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</si>
  <si>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</si>
  <si>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</si>
  <si>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</si>
  <si>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</si>
  <si>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</si>
  <si>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</si>
  <si>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</si>
  <si>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</si>
  <si>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</si>
  <si>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</si>
  <si>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</si>
  <si>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</si>
  <si>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</si>
  <si>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</si>
  <si>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</si>
  <si>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</si>
  <si>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</si>
  <si>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</si>
  <si>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</si>
  <si>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</si>
  <si>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</si>
  <si>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</si>
  <si>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</si>
  <si>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</si>
  <si>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</si>
  <si>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</si>
  <si>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</si>
  <si>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</si>
  <si>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</si>
  <si>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</si>
  <si>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</si>
  <si>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</si>
  <si>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</si>
  <si>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</si>
  <si>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</si>
  <si>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</si>
  <si>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</si>
  <si>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</si>
  <si>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</si>
  <si>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</si>
  <si>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</si>
  <si>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</si>
  <si>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</si>
  <si>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</si>
  <si>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</si>
  <si>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</si>
  <si>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</si>
  <si>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</si>
  <si>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</si>
  <si>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</si>
  <si>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</si>
  <si>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</si>
  <si>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</si>
  <si>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</si>
  <si>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</si>
  <si>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</si>
  <si>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</si>
  <si>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</si>
  <si>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</si>
  <si>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</si>
  <si>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</si>
  <si>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</si>
  <si>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</si>
  <si>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</si>
  <si>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</si>
  <si>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</si>
  <si>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</si>
  <si>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</si>
  <si>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</si>
  <si>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</si>
  <si>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</si>
  <si>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</si>
  <si>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</si>
  <si>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</si>
  <si>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</si>
  <si>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</si>
  <si>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</si>
  <si>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</si>
  <si>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</si>
  <si>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</si>
  <si>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</si>
  <si>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</si>
  <si>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</si>
  <si>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</si>
  <si>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</si>
  <si>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</si>
  <si>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</si>
  <si>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</si>
  <si>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</si>
  <si>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</si>
  <si>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</si>
  <si>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</si>
  <si>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</si>
  <si>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</si>
  <si>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</si>
  <si>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</si>
  <si>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</si>
  <si>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</si>
  <si>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</si>
  <si>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</si>
  <si>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</si>
  <si>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</si>
  <si>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</si>
  <si>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</si>
  <si>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</si>
  <si>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</si>
  <si>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</si>
  <si>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</si>
  <si>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</si>
  <si>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</si>
  <si>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</si>
  <si>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</si>
  <si>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</si>
  <si>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</si>
  <si>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</si>
  <si>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</si>
  <si>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</si>
  <si>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</si>
  <si>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</si>
  <si>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</si>
  <si>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</si>
  <si>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</si>
  <si>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</si>
  <si>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</si>
  <si>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</si>
  <si>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</si>
  <si>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</si>
  <si>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</si>
  <si>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</si>
  <si>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</si>
  <si>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</si>
  <si>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</si>
  <si>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</si>
  <si>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</si>
  <si>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</si>
  <si>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</si>
  <si>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</si>
  <si>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</si>
  <si>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</si>
  <si>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</si>
  <si>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</si>
  <si>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</si>
  <si>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</si>
  <si>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</si>
  <si>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</si>
  <si>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</si>
  <si>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</si>
  <si>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</si>
  <si>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</si>
  <si>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</si>
  <si>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</si>
  <si>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</si>
  <si>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</si>
  <si>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</si>
  <si>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</si>
  <si>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</si>
  <si>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</si>
  <si>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</si>
  <si>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</si>
  <si>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</si>
  <si>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</si>
  <si>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</si>
  <si>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</si>
  <si>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</si>
  <si>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</si>
  <si>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</si>
  <si>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</si>
  <si>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</si>
  <si>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</si>
  <si>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</si>
  <si>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</si>
  <si>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</si>
  <si>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</si>
  <si>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</si>
  <si>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</si>
  <si>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</si>
  <si>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</si>
  <si>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</si>
  <si>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</si>
  <si>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</si>
  <si>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</si>
  <si>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</si>
  <si>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</si>
  <si>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</si>
  <si>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</si>
  <si>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</si>
  <si>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</si>
  <si>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</si>
  <si>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</si>
  <si>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</si>
  <si>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</si>
  <si>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</si>
  <si>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</si>
  <si>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</si>
  <si>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</si>
  <si>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</si>
  <si>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</si>
  <si>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</si>
  <si>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</si>
  <si>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</si>
  <si>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</si>
  <si>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</si>
  <si>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</si>
  <si>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</si>
  <si>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</si>
  <si>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</si>
  <si>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</si>
  <si>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</si>
  <si>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</si>
  <si>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</si>
  <si>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</si>
  <si>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</si>
  <si>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</si>
  <si>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</si>
  <si>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</si>
  <si>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</si>
  <si>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</si>
  <si>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</si>
  <si>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</si>
  <si>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</si>
  <si>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</si>
  <si>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</si>
  <si>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</si>
  <si>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</si>
  <si>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</si>
  <si>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</si>
  <si>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</si>
  <si>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</si>
  <si>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</si>
  <si>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</si>
  <si>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</si>
  <si>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</si>
  <si>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</si>
  <si>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</si>
  <si>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</si>
  <si>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</si>
  <si>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</si>
  <si>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</si>
  <si>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</si>
  <si>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</si>
  <si>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</si>
  <si>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</si>
  <si>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</si>
  <si>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</si>
  <si>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</si>
  <si>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</si>
  <si>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</si>
  <si>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</si>
  <si>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</si>
  <si>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</si>
  <si>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</si>
  <si>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</si>
  <si>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</si>
  <si>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</si>
  <si>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</si>
  <si>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</si>
  <si>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</si>
  <si>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</si>
  <si>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</si>
  <si>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</si>
  <si>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</si>
  <si>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</si>
  <si>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</si>
  <si>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</si>
  <si>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</si>
  <si>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</si>
  <si>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</si>
  <si>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</si>
  <si>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</si>
  <si>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</si>
  <si>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</si>
  <si>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</si>
  <si>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</si>
  <si>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</si>
  <si>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</si>
  <si>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</si>
  <si>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</si>
  <si>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</si>
  <si>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</si>
  <si>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</si>
  <si>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</si>
  <si>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</si>
  <si>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</si>
  <si>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</si>
  <si>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</si>
  <si>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</si>
  <si>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</si>
  <si>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</si>
  <si>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</si>
  <si>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</si>
  <si>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</si>
  <si>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</si>
  <si>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</si>
  <si>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</si>
  <si>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</si>
  <si>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</si>
  <si>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</si>
  <si>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</si>
  <si>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</si>
  <si>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</si>
  <si>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</si>
  <si>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</si>
  <si>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</si>
  <si>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</si>
  <si>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</si>
  <si>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</si>
  <si>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</si>
  <si>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</si>
  <si>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</si>
  <si>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</si>
  <si>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</si>
  <si>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</si>
  <si>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</si>
  <si>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</si>
  <si>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</si>
  <si>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</si>
  <si>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</si>
  <si>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</si>
  <si>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</si>
  <si>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</si>
  <si>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</si>
  <si>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</si>
  <si>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</si>
  <si>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</si>
  <si>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</si>
  <si>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</si>
  <si>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</si>
  <si>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</si>
  <si>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</si>
  <si>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</si>
  <si>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</si>
  <si>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</si>
  <si>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</si>
  <si>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</si>
  <si>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</si>
  <si>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</si>
  <si>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</si>
  <si>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</si>
  <si>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</si>
  <si>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</si>
  <si>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</si>
  <si>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</si>
  <si>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</si>
  <si>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</si>
  <si>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</si>
  <si>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</si>
  <si>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</si>
  <si>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</si>
  <si>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</si>
  <si>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</si>
  <si>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</si>
  <si>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</si>
  <si>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</si>
  <si>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</si>
  <si>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</si>
  <si>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</si>
  <si>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</si>
  <si>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</si>
  <si>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</si>
  <si>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</si>
  <si>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</si>
  <si>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</si>
  <si>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</si>
  <si>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</si>
  <si>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</si>
  <si>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</si>
  <si>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</si>
  <si>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</si>
  <si>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</si>
  <si>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</si>
  <si>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</si>
  <si>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</si>
  <si>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</si>
  <si>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</si>
  <si>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</si>
  <si>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</si>
  <si>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</si>
  <si>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</si>
  <si>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</si>
  <si>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</si>
  <si>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</si>
  <si>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</si>
  <si>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</si>
  <si>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</si>
  <si>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</si>
  <si>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</si>
  <si>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</si>
  <si>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</si>
  <si>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</si>
  <si>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</si>
  <si>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</si>
  <si>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</si>
  <si>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</si>
  <si>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</si>
  <si>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</si>
  <si>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</si>
  <si>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</si>
  <si>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</si>
  <si>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</si>
  <si>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</si>
  <si>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</si>
  <si>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</si>
  <si>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</si>
  <si>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</si>
  <si>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</si>
  <si>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</si>
  <si>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</si>
  <si>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</si>
  <si>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</si>
  <si>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</si>
  <si>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</si>
  <si>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</si>
  <si>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</si>
  <si>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</si>
  <si>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</si>
  <si>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</si>
  <si>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</si>
  <si>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</si>
  <si>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</si>
  <si>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</si>
  <si>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</si>
  <si>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</si>
  <si>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</si>
  <si>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</si>
  <si>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</si>
  <si>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</si>
  <si>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</si>
  <si>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</si>
  <si>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</si>
  <si>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</si>
  <si>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</si>
  <si>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</si>
  <si>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</si>
  <si>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</si>
  <si>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</si>
  <si>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</si>
  <si>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</si>
  <si>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</si>
  <si>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</si>
  <si>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</si>
  <si>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</si>
  <si>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</si>
  <si>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</si>
  <si>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</si>
  <si>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</si>
  <si>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</si>
  <si>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</si>
  <si>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</si>
  <si>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</si>
  <si>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</si>
  <si>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</si>
  <si>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</si>
  <si>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</si>
  <si>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</si>
  <si>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</si>
  <si>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</si>
  <si>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</si>
  <si>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</si>
  <si>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</si>
  <si>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</si>
  <si>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</si>
  <si>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</si>
  <si>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</si>
  <si>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</si>
  <si>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</si>
  <si>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</si>
  <si>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</si>
  <si>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</si>
  <si>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</si>
  <si>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</si>
  <si>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</si>
  <si>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</si>
  <si>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</si>
  <si>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</si>
  <si>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</si>
  <si>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</si>
  <si>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</si>
  <si>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</si>
  <si>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</si>
  <si>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</si>
  <si>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</si>
  <si>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</si>
  <si>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</si>
  <si>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</si>
  <si>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</si>
  <si>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</si>
  <si>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</si>
  <si>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</si>
  <si>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</si>
  <si>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</si>
  <si>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</si>
  <si>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</si>
  <si>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</si>
  <si>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</si>
  <si>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</si>
  <si>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</si>
  <si>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</si>
  <si>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</si>
  <si>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</si>
  <si>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</si>
  <si>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</si>
  <si>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</si>
  <si>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</si>
  <si>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</si>
  <si>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</si>
  <si>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</si>
  <si>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</si>
  <si>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</si>
  <si>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</si>
  <si>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</si>
  <si>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</si>
  <si>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</si>
  <si>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</si>
  <si>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</si>
  <si>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</si>
  <si>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</si>
  <si>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</si>
  <si>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</si>
  <si>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</si>
  <si>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</si>
  <si>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</si>
  <si>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</si>
  <si>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</si>
  <si>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</si>
  <si>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</si>
  <si>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</si>
  <si>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</si>
  <si>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</si>
  <si>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</si>
  <si>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</si>
  <si>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</si>
  <si>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</si>
  <si>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</si>
  <si>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</si>
  <si>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</si>
  <si>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</si>
  <si>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</si>
  <si>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</si>
  <si>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</si>
  <si>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</si>
  <si>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</si>
  <si>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</si>
  <si>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</si>
  <si>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</si>
  <si>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</si>
  <si>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</si>
  <si>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</si>
  <si>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</si>
  <si>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</si>
  <si>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</si>
  <si>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</si>
  <si>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</si>
  <si>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</si>
  <si>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</si>
  <si>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</si>
  <si>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</si>
  <si>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</si>
  <si>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</si>
  <si>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</si>
  <si>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</si>
  <si>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</si>
  <si>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</si>
  <si>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</si>
  <si>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</si>
  <si>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</si>
  <si>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</si>
  <si>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</si>
  <si>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</si>
  <si>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</si>
  <si>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</si>
  <si>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</si>
  <si>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</si>
  <si>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</si>
  <si>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</si>
  <si>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</si>
  <si>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</si>
  <si>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</si>
  <si>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</si>
  <si>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</si>
  <si>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</si>
  <si>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</si>
  <si>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</si>
  <si>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</si>
  <si>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</si>
  <si>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</si>
  <si>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</si>
  <si>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</si>
  <si>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</si>
  <si>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</si>
  <si>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</si>
  <si>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</si>
  <si>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</si>
  <si>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</si>
  <si>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</si>
  <si>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</si>
  <si>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</si>
  <si>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</si>
  <si>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</si>
  <si>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</si>
  <si>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</si>
  <si>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</si>
  <si>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</si>
  <si>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</si>
  <si>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</si>
  <si>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</si>
  <si>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</si>
  <si>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</si>
  <si>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</si>
  <si>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</si>
  <si>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</si>
  <si>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</si>
  <si>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</si>
  <si>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</si>
  <si>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</si>
  <si>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</si>
  <si>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</si>
  <si>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</si>
  <si>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</si>
  <si>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</si>
  <si>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</si>
  <si>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</si>
  <si>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</si>
  <si>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</si>
  <si>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</si>
  <si>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</si>
  <si>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</si>
  <si>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</si>
  <si>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</si>
  <si>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</si>
  <si>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</si>
  <si>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</si>
  <si>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</si>
  <si>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</si>
  <si>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</si>
  <si>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</si>
  <si>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</si>
  <si>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</si>
  <si>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</si>
  <si>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</si>
  <si>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</si>
  <si>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</si>
  <si>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</si>
  <si>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</si>
  <si>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</si>
  <si>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</si>
  <si>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</si>
  <si>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</si>
  <si>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</si>
  <si>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</si>
  <si>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</si>
  <si>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</si>
  <si>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</si>
  <si>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</si>
  <si>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</si>
  <si>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</si>
  <si>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</si>
  <si>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</si>
  <si>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</si>
  <si>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</si>
  <si>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</si>
  <si>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</si>
  <si>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</si>
  <si>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</si>
  <si>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</si>
  <si>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</si>
  <si>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</si>
  <si>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</si>
  <si>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</si>
  <si>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</si>
  <si>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</si>
  <si>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GRAVONE</t>
  </si>
  <si>
    <t xml:space="preserve">GRAVONE A BOCOGNANO 1</t>
  </si>
  <si>
    <t xml:space="preserve">06215900</t>
  </si>
  <si>
    <t xml:space="preserve">(Date)</t>
  </si>
  <si>
    <t xml:space="preserve">Résultats</t>
  </si>
  <si>
    <t xml:space="preserve">Robustesse:</t>
  </si>
  <si>
    <t xml:space="preserve">Unité(s) de relevé</t>
  </si>
  <si>
    <t xml:space="preserve">UR1</t>
  </si>
  <si>
    <t xml:space="preserve">UR2</t>
  </si>
  <si>
    <t xml:space="preserve">Faciès dominant</t>
  </si>
  <si>
    <t xml:space="preserve">rapide</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</si>
  <si>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</si>
  <si>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</si>
  <si>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</si>
  <si>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</si>
  <si>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</si>
  <si>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</si>
  <si>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</si>
  <si>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</si>
  <si>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</si>
  <si>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</si>
  <si>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</si>
  <si>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</si>
  <si>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</si>
  <si>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</si>
  <si>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</si>
  <si>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</si>
  <si>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</si>
  <si>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</si>
  <si>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</si>
  <si>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</si>
  <si>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</si>
  <si>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</si>
  <si>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</si>
  <si>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</si>
  <si>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</si>
  <si>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</si>
  <si>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</si>
  <si>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</si>
  <si>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</si>
  <si>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</si>
  <si>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</si>
  <si>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</si>
  <si>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</si>
  <si>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</si>
  <si>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</si>
  <si>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</si>
  <si>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</si>
  <si>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</si>
  <si>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</si>
  <si>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</si>
  <si>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</si>
  <si>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</si>
  <si>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</si>
  <si>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</si>
  <si>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</si>
  <si>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</si>
  <si>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</si>
  <si>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</si>
  <si>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</si>
  <si>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</si>
  <si>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</si>
  <si>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</si>
  <si>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</si>
  <si>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</si>
  <si>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</si>
  <si>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</si>
  <si>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</si>
  <si>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</si>
  <si>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</si>
  <si>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</si>
  <si>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</si>
  <si>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Blennothrix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</si>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</sst>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42553</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13.5238095238095</v>
      </c>
      <c r="N5" s="327"/>
      <c r="O5" s="328" t="s">
        <v>217</v>
      </c>
      <c r="P5" s="329" t="n">
        <v>12.9333333333333</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2</v>
      </c>
      <c r="P6" s="341" t="s">
        <v>3391</v>
      </c>
      <c r="Q6" s="342"/>
      <c r="R6" s="285"/>
      <c r="S6" s="285"/>
      <c r="T6" s="285"/>
      <c r="U6" s="285"/>
      <c r="V6" s="285"/>
      <c r="W6" s="299"/>
    </row>
    <row r="7" customFormat="false" ht="12.75" hidden="false" customHeight="false" outlineLevel="0" collapsed="false">
      <c r="A7" s="343" t="s">
        <v>3392</v>
      </c>
      <c r="B7" s="344" t="n">
        <v>84</v>
      </c>
      <c r="C7" s="345" t="n">
        <v>16</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13.1428571428571</v>
      </c>
      <c r="P8" s="359" t="n">
        <f aca="false">IF(ISERROR(AVERAGE(K23:K82)),"  ",AVERAGE(K23:K82))</f>
        <v>1.85714285714286</v>
      </c>
      <c r="Q8" s="360"/>
      <c r="R8" s="285"/>
      <c r="S8" s="285"/>
      <c r="T8" s="285"/>
      <c r="U8" s="285"/>
      <c r="V8" s="285"/>
      <c r="W8" s="299"/>
    </row>
    <row r="9" customFormat="false" ht="12.75" hidden="false" customHeight="false" outlineLevel="0" collapsed="false">
      <c r="A9" s="317" t="s">
        <v>3398</v>
      </c>
      <c r="B9" s="344" t="n">
        <v>8</v>
      </c>
      <c r="C9" s="345" t="n">
        <v>2</v>
      </c>
      <c r="D9" s="361"/>
      <c r="E9" s="361"/>
      <c r="F9" s="362" t="n">
        <f aca="false">($B9*$B$7+$C9*$C$7)/100</f>
        <v>7.04</v>
      </c>
      <c r="G9" s="363"/>
      <c r="H9" s="320"/>
      <c r="I9" s="285"/>
      <c r="J9" s="364"/>
      <c r="K9" s="365"/>
      <c r="L9" s="350"/>
      <c r="M9" s="366"/>
      <c r="N9" s="358" t="s">
        <v>3399</v>
      </c>
      <c r="O9" s="359" t="n">
        <f aca="false">IF(ISERROR(STDEVP(J23:J82))," ",STDEVP(J23:J82))</f>
        <v>1.8070158058105</v>
      </c>
      <c r="P9" s="359" t="n">
        <f aca="false">IF(ISERROR(STDEVP(K23:K82)),"  ",STDEVP(K23:K82))</f>
        <v>0.63887656499994</v>
      </c>
      <c r="Q9" s="360"/>
      <c r="R9" s="285"/>
      <c r="S9" s="285"/>
      <c r="T9" s="285"/>
      <c r="U9" s="285"/>
      <c r="V9" s="285"/>
      <c r="W9" s="299"/>
    </row>
    <row r="10" customFormat="false" ht="12.75" hidden="false" customHeight="false" outlineLevel="0" collapsed="false">
      <c r="A10" s="317" t="s">
        <v>3400</v>
      </c>
      <c r="B10" s="367" t="s">
        <v>3401</v>
      </c>
      <c r="C10" s="368" t="s">
        <v>3401</v>
      </c>
      <c r="D10" s="361"/>
      <c r="E10" s="361"/>
      <c r="F10" s="362"/>
      <c r="G10" s="363"/>
      <c r="H10" s="333"/>
      <c r="I10" s="285"/>
      <c r="J10" s="369"/>
      <c r="K10" s="370" t="s">
        <v>3402</v>
      </c>
      <c r="L10" s="371"/>
      <c r="M10" s="372"/>
      <c r="N10" s="358" t="s">
        <v>3403</v>
      </c>
      <c r="O10" s="373" t="n">
        <f aca="false">MIN(J23:J82)</f>
        <v>10</v>
      </c>
      <c r="P10" s="373" t="n">
        <f aca="false">MIN(K23:K82)</f>
        <v>1</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8</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1</v>
      </c>
      <c r="M13" s="382"/>
      <c r="N13" s="390" t="s">
        <v>3411</v>
      </c>
      <c r="O13" s="391" t="n">
        <f aca="false">COUNTIF(F23:F82,"&gt;0")</f>
        <v>10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7</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2</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4</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n">
        <f aca="false">IF(ISERROR((O13-(COUNTIF(J23:J82,"nc")))/O13),"-",(O13-(COUNTIF(J23:J82,"nc")))/O13)</f>
        <v>0.8</v>
      </c>
      <c r="N17" s="390" t="s">
        <v>3422</v>
      </c>
      <c r="O17" s="391" t="n">
        <f aca="false">COUNTIF(K23:K82,"=3")</f>
        <v>1</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7.85</v>
      </c>
      <c r="C20" s="434" t="n">
        <f aca="false">SUM(C23:C82)</f>
        <v>2.01</v>
      </c>
      <c r="D20" s="435"/>
      <c r="E20" s="436" t="s">
        <v>3424</v>
      </c>
      <c r="F20" s="437" t="n">
        <f aca="false">($B20*$B$7+$C20*$C$7)/100</f>
        <v>6.9156</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6.594</v>
      </c>
      <c r="C21" s="445" t="n">
        <f aca="false">C20*C7/100</f>
        <v>0.3216</v>
      </c>
      <c r="D21" s="446" t="s">
        <v>3427</v>
      </c>
      <c r="E21" s="447"/>
      <c r="F21" s="448" t="n">
        <f aca="false">B21+C21</f>
        <v>6.9156</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53</v>
      </c>
      <c r="B23" s="474" t="n">
        <v>0.005</v>
      </c>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n">
        <f aca="false">IF(AND(OR(A23="",A23="!!!!!!"),B23="",C23=""),"",IF(OR(AND(B23="",C23=""),ISERROR(C23+B23)),"!!!",($B23*$B$7+$C23*$C$7)/100))</f>
        <v>0.0042</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0.0042</v>
      </c>
      <c r="S23" s="487" t="n">
        <f aca="false">IF(OR(ISTEXT(H23),R23=0),"",IF(R23&lt;0.1,1,IF(R23&lt;1,2,IF(R23&lt;10,3,IF(R23&lt;50,4,IF(R23&gt;=50,5,""))))))</f>
        <v>1</v>
      </c>
      <c r="T23" s="487" t="n">
        <f aca="false">IF(ISERROR(S23*J23),0,S23*J23)</f>
        <v>13</v>
      </c>
      <c r="U23" s="487" t="n">
        <f aca="false">IF(ISERROR(S23*J23*K23),0,S23*J23*K23)</f>
        <v>26</v>
      </c>
      <c r="V23" s="487" t="n">
        <f aca="false">IF(ISERROR(S23*K23),0,S23*K23)</f>
        <v>2</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t="s">
        <v>207</v>
      </c>
      <c r="B24" s="491" t="n">
        <v>0.05</v>
      </c>
      <c r="C24" s="492"/>
      <c r="D24" s="493" t="str">
        <f aca="false">IF(ISERROR(VLOOKUP($A24,'liste reference'!$A$6:$B$1174,2,0)),IF(ISERROR(VLOOKUP($A24,'liste reference'!$B$6:$B$1174,1,0)),"",VLOOKUP($A24,'liste reference'!$B$6:$B$1174,1,0)),VLOOKUP($A24,'liste reference'!$A$6:$B$1174,2,0))</f>
        <v>Hydrurus sp.</v>
      </c>
      <c r="E24" s="494" t="e">
        <f aca="false">IF(D24="",,VLOOKUP(D24,D$22:D23,1,0))</f>
        <v>#N/A</v>
      </c>
      <c r="F24" s="495" t="n">
        <f aca="false">IF(AND(OR(A24="",A24="!!!!!!"),B24="",C24=""),"",IF(OR(AND(B24="",C24=""),ISERROR(C24+B24)),"!!!",($B24*$B$7+$C24*$C$7)/100))</f>
        <v>0.042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Hydrurus sp.</v>
      </c>
      <c r="M24" s="499"/>
      <c r="N24" s="499"/>
      <c r="O24" s="499"/>
      <c r="P24" s="500" t="s">
        <v>3447</v>
      </c>
      <c r="Q24" s="501" t="n">
        <f aca="false">IF(OR($A24="NEWCOD",$A24="!!!!!!"),IF(X24="","NoCod",X24),IF($A24="","",IF(ISERROR(VLOOKUP($A24,'liste reference'!$A$6:$H$1174,8,FALSE())),IF(ISERROR(VLOOKUP($A24,'liste reference'!$B$6:$H$1174,7,FALSE())),"",VLOOKUP($A24,'liste reference'!$B$6:$H$1174,7,FALSE())),VLOOKUP($A24,'liste reference'!$A$6:$H$1174,8,FALSE()))))</f>
        <v>6183</v>
      </c>
      <c r="R24" s="486" t="n">
        <f aca="false">IF(ISTEXT(H24),"",(B24*$B$7/100)+(C24*$C$7/100))</f>
        <v>0.042</v>
      </c>
      <c r="S24" s="487" t="n">
        <f aca="false">IF(OR(ISTEXT(H24),R24=0),"",IF(R24&lt;0.1,1,IF(R24&lt;1,2,IF(R24&lt;10,3,IF(R24&lt;50,4,IF(R24&gt;=50,5,""))))))</f>
        <v>1</v>
      </c>
      <c r="T24" s="487" t="n">
        <f aca="false">IF(ISERROR(S24*J24),0,S24*J24)</f>
        <v>16</v>
      </c>
      <c r="U24" s="487" t="n">
        <f aca="false">IF(ISERROR(S24*J24*K24),0,S24*J24*K24)</f>
        <v>32</v>
      </c>
      <c r="V24" s="502" t="n">
        <f aca="false">IF(ISERROR(S24*K24),0,S24*K24)</f>
        <v>2</v>
      </c>
      <c r="W24" s="503"/>
      <c r="X24" s="504"/>
      <c r="Y24" s="487" t="str">
        <f aca="false">IF(AND(ISNUMBER(F24),OR(A24="",A24="!!!!!!")),"!!!!!!",IF(A24="new.cod","NEWCOD",IF(AND((Z24=""),ISTEXT(A24),A24&lt;&gt;"!!!!!!"),A24,IF(Z24="","",INDEX('liste reference'!$A$6:$A$1174,Z24)))))</f>
        <v>HYUSPX</v>
      </c>
      <c r="Z24" s="472" t="n">
        <f aca="false">IF(ISERROR(MATCH(A24,'liste reference'!$A$6:$A$1174,0)),IF(ISERROR(MATCH(A24,'liste reference'!$B$6:$B$1174,0)),"",(MATCH(A24,'liste reference'!$B$6:$B$1174,0))),(MATCH(A24,'liste reference'!$A$6:$A$1174,0)))</f>
        <v>56</v>
      </c>
    </row>
    <row r="25" customFormat="false" ht="12.75" hidden="false" customHeight="false" outlineLevel="0" collapsed="false">
      <c r="A25" s="490" t="s">
        <v>217</v>
      </c>
      <c r="B25" s="491" t="n">
        <v>7</v>
      </c>
      <c r="C25" s="492" t="n">
        <v>0.005</v>
      </c>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5.8808</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3447</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5.8808</v>
      </c>
      <c r="S25" s="487" t="n">
        <f aca="false">IF(OR(ISTEXT(H25),R25=0),"",IF(R25&lt;0.1,1,IF(R25&lt;1,2,IF(R25&lt;10,3,IF(R25&lt;50,4,IF(R25&gt;=50,5,""))))))</f>
        <v>3</v>
      </c>
      <c r="T25" s="487" t="n">
        <f aca="false">IF(ISERROR(S25*J25),0,S25*J25)</f>
        <v>45</v>
      </c>
      <c r="U25" s="487" t="n">
        <f aca="false">IF(ISERROR(S25*J25*K25),0,S25*J25*K25)</f>
        <v>90</v>
      </c>
      <c r="V25" s="502" t="n">
        <f aca="false">IF(ISERROR(S25*K25),0,S25*K25)</f>
        <v>6</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234</v>
      </c>
      <c r="B26" s="491" t="n">
        <v>0.06</v>
      </c>
      <c r="C26" s="492"/>
      <c r="D26" s="493" t="str">
        <f aca="false">IF(ISERROR(VLOOKUP($A26,'liste reference'!$A$6:$B$1174,2,0)),IF(ISERROR(VLOOKUP($A26,'liste reference'!$B$6:$B$1174,1,0)),"",VLOOKUP($A26,'liste reference'!$B$6:$B$1174,1,0)),VLOOKUP($A26,'liste reference'!$A$6:$B$1174,2,0))</f>
        <v>Microcoleus sp.</v>
      </c>
      <c r="E26" s="494" t="e">
        <f aca="false">IF(D26="",,VLOOKUP(D26,D$22:D25,1,0))</f>
        <v>#N/A</v>
      </c>
      <c r="F26" s="495" t="n">
        <f aca="false">IF(AND(OR(A26="",A26="!!!!!!"),B26="",C26=""),"",IF(OR(AND(B26="",C26=""),ISERROR(C26+B26)),"!!!",($B26*$B$7+$C26*$C$7)/100))</f>
        <v>0.0504</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0.0504</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309</v>
      </c>
      <c r="B27" s="491" t="n">
        <v>0.01</v>
      </c>
      <c r="C27" s="492"/>
      <c r="D27" s="493" t="str">
        <f aca="false">IF(ISERROR(VLOOKUP($A27,'liste reference'!$A$6:$B$1174,2,0)),IF(ISERROR(VLOOKUP($A27,'liste reference'!$B$6:$B$1174,1,0)),"",VLOOKUP($A27,'liste reference'!$B$6:$B$1174,1,0)),VLOOKUP($A27,'liste reference'!$A$6:$B$1174,2,0))</f>
        <v>Phormidium sp.</v>
      </c>
      <c r="E27" s="494" t="e">
        <f aca="false">IF(D27="",,VLOOKUP(D27,D$22:D26,1,0))</f>
        <v>#N/A</v>
      </c>
      <c r="F27" s="495" t="n">
        <f aca="false">IF(AND(OR(A27="",A27="!!!!!!"),B27="",C27=""),"",IF(OR(AND(B27="",C27=""),ISERROR(C27+B27)),"!!!",($B27*$B$7+$C27*$C$7)/100))</f>
        <v>0.0084</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6414</v>
      </c>
      <c r="R27" s="486" t="n">
        <f aca="false">IF(ISTEXT(H27),"",(B27*$B$7/100)+(C27*$C$7/100))</f>
        <v>0.0084</v>
      </c>
      <c r="S27" s="487" t="n">
        <f aca="false">IF(OR(ISTEXT(H27),R27=0),"",IF(R27&lt;0.1,1,IF(R27&lt;1,2,IF(R27&lt;10,3,IF(R27&lt;50,4,IF(R27&gt;=50,5,""))))))</f>
        <v>1</v>
      </c>
      <c r="T27" s="487" t="n">
        <f aca="false">IF(ISERROR(S27*J27),0,S27*J27)</f>
        <v>13</v>
      </c>
      <c r="U27" s="487" t="n">
        <f aca="false">IF(ISERROR(S27*J27*K27),0,S27*J27*K27)</f>
        <v>26</v>
      </c>
      <c r="V27" s="502" t="n">
        <f aca="false">IF(ISERROR(S27*K27),0,S27*K27)</f>
        <v>2</v>
      </c>
      <c r="W27" s="503"/>
      <c r="X27" s="504"/>
      <c r="Y27" s="487" t="str">
        <f aca="false">IF(AND(ISNUMBER(F27),OR(A27="",A27="!!!!!!")),"!!!!!!",IF(A27="new.cod","NEWCOD",IF(AND((Z27=""),ISTEXT(A27),A27&lt;&gt;"!!!!!!"),A27,IF(Z27="","",INDEX('liste reference'!$A$6:$A$1174,Z27)))))</f>
        <v>PHOSPX</v>
      </c>
      <c r="Z27" s="472" t="n">
        <f aca="false">IF(ISERROR(MATCH(A27,'liste reference'!$A$6:$A$1174,0)),IF(ISERROR(MATCH(A27,'liste reference'!$B$6:$B$1174,0)),"",(MATCH(A27,'liste reference'!$B$6:$B$1174,0))),(MATCH(A27,'liste reference'!$A$6:$A$1174,0)))</f>
        <v>88</v>
      </c>
    </row>
    <row r="28" customFormat="false" ht="12.75" hidden="false" customHeight="false" outlineLevel="0" collapsed="false">
      <c r="A28" s="490" t="s">
        <v>343</v>
      </c>
      <c r="B28" s="491" t="n">
        <v>0.5</v>
      </c>
      <c r="C28" s="492" t="n">
        <v>2</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0.74</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3447</v>
      </c>
      <c r="Q28" s="501" t="n">
        <f aca="false">IF(OR($A28="NEWCOD",$A28="!!!!!!"),IF(X28="","NoCod",X28),IF($A28="","",IF(ISERROR(VLOOKUP($A28,'liste reference'!$A$6:$H$1174,8,FALSE())),IF(ISERROR(VLOOKUP($A28,'liste reference'!$B$6:$H$1174,7,FALSE())),"",VLOOKUP($A28,'liste reference'!$B$6:$H$1174,7,FALSE())),VLOOKUP($A28,'liste reference'!$A$6:$H$1174,8,FALSE()))))</f>
        <v>1147</v>
      </c>
      <c r="R28" s="486" t="n">
        <f aca="false">IF(ISTEXT(H28),"",(B28*$B$7/100)+(C28*$C$7/100))</f>
        <v>0.74</v>
      </c>
      <c r="S28" s="487" t="n">
        <f aca="false">IF(OR(ISTEXT(H28),R28=0),"",IF(R28&lt;0.1,1,IF(R28&lt;1,2,IF(R28&lt;10,3,IF(R28&lt;50,4,IF(R28&gt;=50,5,""))))))</f>
        <v>2</v>
      </c>
      <c r="T28" s="487" t="n">
        <f aca="false">IF(ISERROR(S28*J28),0,S28*J28)</f>
        <v>20</v>
      </c>
      <c r="U28" s="487" t="n">
        <f aca="false">IF(ISERROR(S28*J28*K28),0,S28*J28*K28)</f>
        <v>20</v>
      </c>
      <c r="V28" s="502" t="n">
        <f aca="false">IF(ISERROR(S28*K28),0,S28*K28)</f>
        <v>2</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376</v>
      </c>
      <c r="B29" s="491" t="n">
        <v>0.01</v>
      </c>
      <c r="C29" s="492"/>
      <c r="D29" s="493" t="str">
        <f aca="false">IF(ISERROR(VLOOKUP($A29,'liste reference'!$A$6:$B$1174,2,0)),IF(ISERROR(VLOOKUP($A29,'liste reference'!$B$6:$B$1174,1,0)),"",VLOOKUP($A29,'liste reference'!$B$6:$B$1174,1,0)),VLOOKUP($A29,'liste reference'!$A$6:$B$1174,2,0))</f>
        <v>Tolypothrix sp.</v>
      </c>
      <c r="E29" s="494" t="e">
        <f aca="false">IF(D29="",,VLOOKUP(D29,D$22:D28,1,0))</f>
        <v>#N/A</v>
      </c>
      <c r="F29" s="495" t="n">
        <f aca="false">IF(AND(OR(A29="",A29="!!!!!!"),B29="",C29=""),"",IF(OR(AND(B29="",C29=""),ISERROR(C29+B29)),"!!!",($B29*$B$7+$C29*$C$7)/100))</f>
        <v>0.0084</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Tolypothrix sp.</v>
      </c>
      <c r="M29" s="499"/>
      <c r="N29" s="499"/>
      <c r="O29" s="499"/>
      <c r="P29" s="500" t="s">
        <v>3447</v>
      </c>
      <c r="Q29" s="501" t="n">
        <f aca="false">IF(OR($A29="NEWCOD",$A29="!!!!!!"),IF(X29="","NoCod",X29),IF($A29="","",IF(ISERROR(VLOOKUP($A29,'liste reference'!$A$6:$H$1174,8,FALSE())),IF(ISERROR(VLOOKUP($A29,'liste reference'!$B$6:$H$1174,7,FALSE())),"",VLOOKUP($A29,'liste reference'!$B$6:$H$1174,7,FALSE())),VLOOKUP($A29,'liste reference'!$A$6:$H$1174,8,FALSE()))))</f>
        <v>6304</v>
      </c>
      <c r="R29" s="486" t="n">
        <f aca="false">IF(ISTEXT(H29),"",(B29*$B$7/100)+(C29*$C$7/100))</f>
        <v>0.0084</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TOYSPX</v>
      </c>
      <c r="Z29" s="472" t="n">
        <f aca="false">IF(ISERROR(MATCH(A29,'liste reference'!$A$6:$A$1174,0)),IF(ISERROR(MATCH(A29,'liste reference'!$B$6:$B$1174,0)),"",(MATCH(A29,'liste reference'!$B$6:$B$1174,0))),(MATCH(A29,'liste reference'!$A$6:$A$1174,0)))</f>
        <v>113</v>
      </c>
    </row>
    <row r="30" customFormat="false" ht="12.75" hidden="false" customHeight="false" outlineLevel="0" collapsed="false">
      <c r="A30" s="490" t="s">
        <v>398</v>
      </c>
      <c r="B30" s="491" t="n">
        <v>0.2</v>
      </c>
      <c r="C30" s="492" t="n">
        <v>0.005</v>
      </c>
      <c r="D30" s="493" t="str">
        <f aca="false">IF(ISERROR(VLOOKUP($A30,'liste reference'!$A$6:$B$1174,2,0)),IF(ISERROR(VLOOKUP($A30,'liste reference'!$B$6:$B$1174,1,0)),"",VLOOKUP($A30,'liste reference'!$B$6:$B$1174,1,0)),VLOOKUP($A30,'liste reference'!$A$6:$B$1174,2,0))</f>
        <v>Zygnema sp.</v>
      </c>
      <c r="E30" s="494" t="e">
        <f aca="false">IF(D30="",,VLOOKUP(D30,D$22:D29,1,0))</f>
        <v>#N/A</v>
      </c>
      <c r="F30" s="495" t="n">
        <f aca="false">IF(AND(OR(A30="",A30="!!!!!!"),B30="",C30=""),"",IF(OR(AND(B30="",C30=""),ISERROR(C30+B30)),"!!!",($B30*$B$7+$C30*$C$7)/100))</f>
        <v>0.1688</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9"/>
      <c r="N30" s="499"/>
      <c r="O30" s="499"/>
      <c r="P30" s="500" t="s">
        <v>3447</v>
      </c>
      <c r="Q30" s="501" t="n">
        <f aca="false">IF(OR($A30="NEWCOD",$A30="!!!!!!"),IF(X30="","NoCod",X30),IF($A30="","",IF(ISERROR(VLOOKUP($A30,'liste reference'!$A$6:$H$1174,8,FALSE())),IF(ISERROR(VLOOKUP($A30,'liste reference'!$B$6:$H$1174,7,FALSE())),"",VLOOKUP($A30,'liste reference'!$B$6:$H$1174,7,FALSE())),VLOOKUP($A30,'liste reference'!$A$6:$H$1174,8,FALSE()))))</f>
        <v>1148</v>
      </c>
      <c r="R30" s="486" t="n">
        <f aca="false">IF(ISTEXT(H30),"",(B30*$B$7/100)+(C30*$C$7/100))</f>
        <v>0.1688</v>
      </c>
      <c r="S30" s="487" t="n">
        <f aca="false">IF(OR(ISTEXT(H30),R30=0),"",IF(R30&lt;0.1,1,IF(R30&lt;1,2,IF(R30&lt;10,3,IF(R30&lt;50,4,IF(R30&gt;=50,5,""))))))</f>
        <v>2</v>
      </c>
      <c r="T30" s="487" t="n">
        <f aca="false">IF(ISERROR(S30*J30),0,S30*J30)</f>
        <v>26</v>
      </c>
      <c r="U30" s="487" t="n">
        <f aca="false">IF(ISERROR(S30*J30*K30),0,S30*J30*K30)</f>
        <v>78</v>
      </c>
      <c r="V30" s="502" t="n">
        <f aca="false">IF(ISERROR(S30*K30),0,S30*K30)</f>
        <v>6</v>
      </c>
      <c r="W30" s="503"/>
      <c r="X30" s="504"/>
      <c r="Y30" s="487" t="str">
        <f aca="false">IF(AND(ISNUMBER(F30),OR(A30="",A30="!!!!!!")),"!!!!!!",IF(A30="new.cod","NEWCOD",IF(AND((Z30=""),ISTEXT(A30),A30&lt;&gt;"!!!!!!"),A30,IF(Z30="","",INDEX('liste reference'!$A$6:$A$1174,Z30)))))</f>
        <v>ZYGSPX</v>
      </c>
      <c r="Z30" s="472" t="n">
        <f aca="false">IF(ISERROR(MATCH(A30,'liste reference'!$A$6:$A$1174,0)),IF(ISERROR(MATCH(A30,'liste reference'!$B$6:$B$1174,0)),"",(MATCH(A30,'liste reference'!$B$6:$B$1174,0))),(MATCH(A30,'liste reference'!$A$6:$A$1174,0)))</f>
        <v>119</v>
      </c>
    </row>
    <row r="31" customFormat="false" ht="12.75" hidden="false" customHeight="false" outlineLevel="0" collapsed="false">
      <c r="A31" s="490" t="s">
        <v>1122</v>
      </c>
      <c r="B31" s="491" t="n">
        <v>0.005</v>
      </c>
      <c r="C31" s="492"/>
      <c r="D31" s="493" t="str">
        <f aca="false">IF(ISERROR(VLOOKUP($A31,'liste reference'!$A$6:$B$1174,2,0)),IF(ISERROR(VLOOKUP($A31,'liste reference'!$B$6:$B$1174,1,0)),"",VLOOKUP($A31,'liste reference'!$B$6:$B$1174,1,0)),VLOOKUP($A31,'liste reference'!$A$6:$B$1174,2,0))</f>
        <v>Rhynchostegium riparioides</v>
      </c>
      <c r="E31" s="494" t="e">
        <f aca="false">IF(D31="",,VLOOKUP(D31,D$22:D30,1,0))</f>
        <v>#N/A</v>
      </c>
      <c r="F31" s="495" t="n">
        <f aca="false">IF(AND(OR(A31="",A31="!!!!!!"),B31="",C31=""),"",IF(OR(AND(B31="",C31=""),ISERROR(C31+B31)),"!!!",($B31*$B$7+$C31*$C$7)/100))</f>
        <v>0.0042</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12</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9"/>
      <c r="N31" s="499"/>
      <c r="O31" s="499"/>
      <c r="P31" s="500" t="s">
        <v>3447</v>
      </c>
      <c r="Q31" s="501" t="n">
        <f aca="false">IF(OR($A31="NEWCOD",$A31="!!!!!!"),IF(X31="","NoCod",X31),IF($A31="","",IF(ISERROR(VLOOKUP($A31,'liste reference'!$A$6:$H$1174,8,FALSE())),IF(ISERROR(VLOOKUP($A31,'liste reference'!$B$6:$H$1174,7,FALSE())),"",VLOOKUP($A31,'liste reference'!$B$6:$H$1174,7,FALSE())),VLOOKUP($A31,'liste reference'!$A$6:$H$1174,8,FALSE()))))</f>
        <v>31691</v>
      </c>
      <c r="R31" s="486" t="n">
        <f aca="false">IF(ISTEXT(H31),"",(B31*$B$7/100)+(C31*$C$7/100))</f>
        <v>0.0042</v>
      </c>
      <c r="S31" s="487" t="n">
        <f aca="false">IF(OR(ISTEXT(H31),R31=0),"",IF(R31&lt;0.1,1,IF(R31&lt;1,2,IF(R31&lt;10,3,IF(R31&lt;50,4,IF(R31&gt;=50,5,""))))))</f>
        <v>1</v>
      </c>
      <c r="T31" s="487" t="n">
        <f aca="false">IF(ISERROR(S31*J31),0,S31*J31)</f>
        <v>12</v>
      </c>
      <c r="U31" s="487" t="n">
        <f aca="false">IF(ISERROR(S31*J31*K31),0,S31*J31*K31)</f>
        <v>12</v>
      </c>
      <c r="V31" s="502" t="n">
        <f aca="false">IF(ISERROR(S31*K31),0,S31*K31)</f>
        <v>1</v>
      </c>
      <c r="W31" s="503"/>
      <c r="X31" s="504"/>
      <c r="Y31" s="487" t="str">
        <f aca="false">IF(AND(ISNUMBER(F31),OR(A31="",A31="!!!!!!")),"!!!!!!",IF(A31="new.cod","NEWCOD",IF(AND((Z31=""),ISTEXT(A31),A31&lt;&gt;"!!!!!!"),A31,IF(Z31="","",INDEX('liste reference'!$A$6:$A$1174,Z31)))))</f>
        <v>RHYRIP</v>
      </c>
      <c r="Z31" s="472" t="n">
        <f aca="false">IF(ISERROR(MATCH(A31,'liste reference'!$A$6:$A$1174,0)),IF(ISERROR(MATCH(A31,'liste reference'!$B$6:$B$1174,0)),"",(MATCH(A31,'liste reference'!$B$6:$B$1174,0))),(MATCH(A31,'liste reference'!$A$6:$A$1174,0)))</f>
        <v>345</v>
      </c>
    </row>
    <row r="32" customFormat="false" ht="12.75" hidden="false" customHeight="false" outlineLevel="0" collapsed="false">
      <c r="A32" s="490" t="s">
        <v>3449</v>
      </c>
      <c r="B32" s="491" t="n">
        <v>0.01</v>
      </c>
      <c r="C32" s="492"/>
      <c r="D32" s="493" t="str">
        <f aca="false">IF(ISERROR(VLOOKUP($A32,'liste reference'!$A$6:$B$1174,2,0)),IF(ISERROR(VLOOKUP($A32,'liste reference'!$B$6:$B$1174,1,0)),"",VLOOKUP($A32,'liste reference'!$B$6:$B$1174,1,0)),VLOOKUP($A32,'liste reference'!$A$6:$B$1174,2,0))</f>
        <v/>
      </c>
      <c r="E32" s="494" t="n">
        <f aca="false">IF(D32="",,VLOOKUP(D32,D$22:D31,1,0))</f>
        <v>0</v>
      </c>
      <c r="F32" s="495" t="n">
        <f aca="false">IF(AND(OR(A32="",A32="!!!!!!"),B32="",C32=""),"",IF(OR(AND(B32="",C32=""),ISERROR(C32+B32)),"!!!",($B32*$B$7+$C32*$C$7)/100))</f>
        <v>0.0084</v>
      </c>
      <c r="G32" s="496" t="str">
        <f aca="false">IF(A32="","",IF(ISERROR(VLOOKUP($A32,'liste reference'!$A$6:$Q$1174,9,0)),IF(ISERROR(VLOOKUP($A32,'liste reference'!$B$6:$Q$1174,8,0)),"    -",VLOOKUP($A32,'liste reference'!$B$6:$Q$1174,8,0)),VLOOKUP($A32,'liste reference'!$A$6:$Q$1174,9,0)))</f>
        <v>    -</v>
      </c>
      <c r="H32" s="497" t="str">
        <f aca="false">IF(A32="","x",IF(ISERROR(VLOOKUP($A32,'liste reference'!$A$6:$Q$1174,10,0)),IF(ISERROR(VLOOKUP($A32,'liste reference'!$B$6:$Q$1174,9,0)),"x",VLOOKUP($A32,'liste reference'!$B$6:$Q$1174,9,0)),VLOOKUP($A32,'liste reference'!$A$6:$Q$1174,10,0)))</f>
        <v>x</v>
      </c>
      <c r="I32" s="285" t="n">
        <f aca="false">IF(A32="","",1)</f>
        <v>1</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Blennothrix sp.</v>
      </c>
      <c r="M32" s="499"/>
      <c r="N32" s="499"/>
      <c r="O32" s="499"/>
      <c r="P32" s="500" t="s">
        <v>3447</v>
      </c>
      <c r="Q32" s="501" t="n">
        <f aca="false">IF(OR($A32="NEWCOD",$A32="!!!!!!"),IF(X32="","NoCod",X32),IF($A32="","",IF(ISERROR(VLOOKUP($A32,'liste reference'!$A$6:$H$1174,8,FALSE())),IF(ISERROR(VLOOKUP($A32,'liste reference'!$B$6:$H$1174,7,FALSE())),"",VLOOKUP($A32,'liste reference'!$B$6:$H$1174,7,FALSE())),VLOOKUP($A32,'liste reference'!$A$6:$H$1174,8,FALSE()))))</f>
        <v>38999</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t="s">
        <v>3450</v>
      </c>
      <c r="X32" s="504" t="n">
        <v>38999</v>
      </c>
      <c r="Y32" s="487" t="str">
        <f aca="false">IF(AND(ISNUMBER(F32),OR(A32="",A32="!!!!!!")),"!!!!!!",IF(A32="new.cod","NEWCOD",IF(AND((Z32=""),ISTEXT(A32),A32&lt;&gt;"!!!!!!"),A32,IF(Z32="","",INDEX('liste reference'!$A$6:$A$1174,Z32)))))</f>
        <v>NEWCOD</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6.9156</v>
      </c>
      <c r="G83" s="425"/>
      <c r="H83" s="425"/>
      <c r="I83" s="425"/>
      <c r="J83" s="425"/>
      <c r="K83" s="425"/>
      <c r="L83" s="425"/>
      <c r="M83" s="487"/>
      <c r="N83" s="487"/>
      <c r="O83" s="487"/>
      <c r="P83" s="487"/>
      <c r="Q83" s="487"/>
      <c r="R83" s="487"/>
      <c r="S83" s="487"/>
      <c r="T83" s="487"/>
      <c r="U83" s="487"/>
      <c r="V83" s="487" t="n">
        <f aca="false">SUM(V23:V82)</f>
        <v>21</v>
      </c>
      <c r="W83" s="487"/>
      <c r="X83" s="524"/>
      <c r="Y83" s="524"/>
      <c r="Z83" s="525"/>
    </row>
    <row r="84" customFormat="false" ht="12.75" hidden="true" customHeight="false" outlineLevel="0" collapsed="false">
      <c r="A84" s="519" t="str">
        <f aca="false">A3</f>
        <v>GRAVONE</v>
      </c>
      <c r="B84" s="454" t="str">
        <f aca="false">C3</f>
        <v>GRAVONE A BOCOGNANO 1</v>
      </c>
      <c r="C84" s="526" t="str">
        <f aca="false">A4</f>
        <v>(Date)</v>
      </c>
      <c r="D84" s="527" t="n">
        <f aca="false">IF(OR(ISERROR(SUM($U$23:$U$82)/SUM($V$23:$V$82)),F7&lt;&gt;100),-1,SUM($U$23:$U$82)/SUM($V$23:$V$82))</f>
        <v>13.5238095238095</v>
      </c>
      <c r="E84" s="528" t="n">
        <f aca="false">O13</f>
        <v>10</v>
      </c>
      <c r="F84" s="454" t="n">
        <f aca="false">O14</f>
        <v>7</v>
      </c>
      <c r="G84" s="454" t="n">
        <f aca="false">O15</f>
        <v>2</v>
      </c>
      <c r="H84" s="454" t="n">
        <f aca="false">O16</f>
        <v>4</v>
      </c>
      <c r="I84" s="454" t="n">
        <f aca="false">O17</f>
        <v>1</v>
      </c>
      <c r="J84" s="529" t="n">
        <f aca="false">O8</f>
        <v>13.1428571428571</v>
      </c>
      <c r="K84" s="530" t="n">
        <f aca="false">O9</f>
        <v>1.8070158058105</v>
      </c>
      <c r="L84" s="531" t="n">
        <f aca="false">O10</f>
        <v>10</v>
      </c>
      <c r="M84" s="531" t="n">
        <f aca="false">O11</f>
        <v>16</v>
      </c>
      <c r="N84" s="530" t="n">
        <f aca="false">P8</f>
        <v>1.85714285714286</v>
      </c>
      <c r="O84" s="530" t="n">
        <f aca="false">P9</f>
        <v>0.63887656499994</v>
      </c>
      <c r="P84" s="531" t="n">
        <f aca="false">P10</f>
        <v>1</v>
      </c>
      <c r="Q84" s="531" t="n">
        <f aca="false">P11</f>
        <v>3</v>
      </c>
      <c r="R84" s="531" t="n">
        <f aca="false">F21</f>
        <v>6.9156</v>
      </c>
      <c r="S84" s="531" t="n">
        <f aca="false">L11</f>
        <v>0</v>
      </c>
      <c r="T84" s="531" t="n">
        <f aca="false">L12</f>
        <v>8</v>
      </c>
      <c r="U84" s="531" t="n">
        <f aca="false">L13</f>
        <v>1</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45</v>
      </c>
      <c r="U87" s="285"/>
      <c r="V87" s="285"/>
    </row>
    <row r="88" customFormat="false" ht="12.75" hidden="true" customHeight="false" outlineLevel="0" collapsed="false">
      <c r="C88" s="535"/>
      <c r="D88" s="535"/>
      <c r="E88" s="535"/>
      <c r="R88" s="285" t="s">
        <v>3453</v>
      </c>
      <c r="S88" s="285"/>
      <c r="T88" s="537" t="n">
        <f aca="false">VLOOKUP($T$91,($A$23:$U$82),21,FALSE())</f>
        <v>90</v>
      </c>
      <c r="U88" s="285"/>
      <c r="V88" s="285" t="n">
        <f aca="false">COUNTIF(V23:V82,T89)</f>
        <v>2</v>
      </c>
    </row>
    <row r="89" customFormat="false" ht="12.75" hidden="true" customHeight="false" outlineLevel="0" collapsed="false">
      <c r="C89" s="535"/>
      <c r="D89" s="535"/>
      <c r="E89" s="535"/>
      <c r="R89" s="285" t="s">
        <v>3454</v>
      </c>
      <c r="S89" s="285"/>
      <c r="T89" s="537" t="n">
        <f aca="false">MAX($V$23:$V$82)</f>
        <v>6</v>
      </c>
      <c r="U89" s="285"/>
    </row>
    <row r="90" customFormat="false" ht="12.75" hidden="true" customHeight="false" outlineLevel="0" collapsed="false">
      <c r="C90" s="535"/>
      <c r="D90" s="535"/>
      <c r="E90" s="535"/>
      <c r="R90" s="285" t="s">
        <v>3455</v>
      </c>
      <c r="S90" s="285" t="s">
        <v>3383</v>
      </c>
      <c r="T90" s="538" t="n">
        <f aca="false">IF(OR(ISERROR(SUM($U$23:$U$82)/SUM($V$23:$V$82)),F7&lt;&gt;100),-1,(SUM($U$23:$U$82)-T88)/(SUM($V$23:$V$82)-T89))</f>
        <v>12.9333333333333</v>
      </c>
      <c r="U90" s="285" t="n">
        <f aca="false">IF(ISERROR(T90),0,1)</f>
        <v>1</v>
      </c>
    </row>
    <row r="91" customFormat="false" ht="12.75" hidden="true" customHeight="false" outlineLevel="0" collapsed="false">
      <c r="C91" s="535"/>
      <c r="D91" s="535"/>
      <c r="E91" s="535"/>
      <c r="R91" s="487" t="s">
        <v>3456</v>
      </c>
      <c r="S91" s="487"/>
      <c r="T91" s="487" t="str">
        <f aca="false">INDEX('liste reference'!$A$6:$A$1174,$U$91)</f>
        <v>LEASPX</v>
      </c>
      <c r="U91" s="285" t="n">
        <f aca="false">IF(ISERROR(MATCH($T$93,'liste reference'!$A$6:$A$1174,0)),MATCH($T$93,'liste reference'!$B$6:$B$1174,0),(MATCH($T$93,'liste reference'!$A$6:$A$1174,0)))</f>
        <v>59</v>
      </c>
      <c r="V91" s="525"/>
    </row>
    <row r="92" customFormat="false" ht="12.75" hidden="true" customHeight="false" outlineLevel="0" collapsed="false">
      <c r="C92" s="535"/>
      <c r="D92" s="535"/>
      <c r="E92" s="535"/>
      <c r="R92" s="285" t="s">
        <v>3457</v>
      </c>
      <c r="S92" s="285"/>
      <c r="T92" s="285" t="n">
        <f aca="false">MATCH(T89,$V$23:$V$82,0)</f>
        <v>3</v>
      </c>
      <c r="U92" s="285"/>
    </row>
    <row r="93" customFormat="false" ht="12.75" hidden="true" customHeight="false" outlineLevel="0" collapsed="false">
      <c r="C93" s="535"/>
      <c r="D93" s="535"/>
      <c r="E93" s="535"/>
      <c r="R93" s="487" t="s">
        <v>3458</v>
      </c>
      <c r="S93" s="285"/>
      <c r="T93" s="487" t="str">
        <f aca="false">INDEX($A$23:$A$82,$T$92)</f>
        <v>LEASPX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3402</v>
      </c>
      <c r="L10" s="371"/>
      <c r="M10" s="372"/>
      <c r="N10" s="358" t="s">
        <v>3403</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3404</v>
      </c>
      <c r="B11" s="376"/>
      <c r="C11" s="377"/>
      <c r="D11" s="361"/>
      <c r="E11" s="361"/>
      <c r="F11" s="378" t="n">
        <f aca="false">($B11*$B$7+$C11*$C$7)/100</f>
        <v>0</v>
      </c>
      <c r="G11" s="379"/>
      <c r="H11" s="333"/>
      <c r="I11" s="285"/>
      <c r="J11" s="380" t="s">
        <v>3405</v>
      </c>
      <c r="K11" s="380"/>
      <c r="L11" s="381" t="n">
        <f aca="false">COUNTIF($G$23:$G$82,"=HET")</f>
        <v>0</v>
      </c>
      <c r="M11" s="382"/>
      <c r="N11" s="358" t="s">
        <v>3406</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3407</v>
      </c>
      <c r="B12" s="384"/>
      <c r="C12" s="385"/>
      <c r="D12" s="361"/>
      <c r="E12" s="361"/>
      <c r="F12" s="378" t="n">
        <f aca="false">($B12*$B$7+$C12*$C$7)/100</f>
        <v>0</v>
      </c>
      <c r="G12" s="379"/>
      <c r="H12" s="333"/>
      <c r="I12" s="285"/>
      <c r="J12" s="380" t="s">
        <v>3408</v>
      </c>
      <c r="K12" s="380"/>
      <c r="L12" s="381" t="n">
        <f aca="false">COUNTIF($G$23:$G$82,"=ALG")</f>
        <v>1</v>
      </c>
      <c r="M12" s="382"/>
      <c r="N12" s="386"/>
      <c r="O12" s="387" t="s">
        <v>3402</v>
      </c>
      <c r="P12" s="388"/>
      <c r="Q12" s="389"/>
      <c r="R12" s="285"/>
      <c r="S12" s="285"/>
      <c r="T12" s="285"/>
      <c r="U12" s="285"/>
      <c r="V12" s="285"/>
      <c r="W12" s="299"/>
    </row>
    <row r="13" customFormat="false" ht="12.75" hidden="false" customHeight="false" outlineLevel="0" collapsed="false">
      <c r="A13" s="383" t="s">
        <v>3409</v>
      </c>
      <c r="B13" s="384"/>
      <c r="C13" s="385"/>
      <c r="D13" s="361"/>
      <c r="E13" s="361"/>
      <c r="F13" s="378" t="n">
        <f aca="false">($B13*$B$7+$C13*$C$7)/100</f>
        <v>0</v>
      </c>
      <c r="G13" s="379"/>
      <c r="H13" s="333"/>
      <c r="I13" s="285"/>
      <c r="J13" s="380" t="s">
        <v>3410</v>
      </c>
      <c r="K13" s="380"/>
      <c r="L13" s="381" t="n">
        <f aca="false">COUNTIF($G$23:$G$82,"=BRm")+COUNTIF($G$23:$G$82,"=BRh")</f>
        <v>0</v>
      </c>
      <c r="M13" s="382"/>
      <c r="N13" s="390" t="s">
        <v>3411</v>
      </c>
      <c r="O13" s="391" t="n">
        <f aca="false">COUNTIF(F23:F82,"&gt;0")</f>
        <v>0</v>
      </c>
      <c r="P13" s="373"/>
      <c r="Q13" s="392"/>
      <c r="R13" s="285"/>
      <c r="S13" s="285"/>
      <c r="T13" s="285"/>
      <c r="U13" s="285"/>
      <c r="V13" s="285"/>
      <c r="W13" s="299"/>
    </row>
    <row r="14" customFormat="false" ht="12.75" hidden="false" customHeight="false" outlineLevel="0" collapsed="false">
      <c r="A14" s="383" t="s">
        <v>3412</v>
      </c>
      <c r="B14" s="384"/>
      <c r="C14" s="385"/>
      <c r="D14" s="361"/>
      <c r="E14" s="361"/>
      <c r="F14" s="378" t="n">
        <f aca="false">($B14*$B$7+$C14*$C$7)/100</f>
        <v>0</v>
      </c>
      <c r="G14" s="379"/>
      <c r="H14" s="333"/>
      <c r="I14" s="285"/>
      <c r="J14" s="380" t="s">
        <v>3413</v>
      </c>
      <c r="K14" s="380"/>
      <c r="L14" s="381" t="n">
        <f aca="false">COUNTIF($G$23:$G$82,"=PTE")+COUNTIF($G$23:$G$82,"=LIC")</f>
        <v>0</v>
      </c>
      <c r="M14" s="382"/>
      <c r="N14" s="393" t="s">
        <v>3414</v>
      </c>
      <c r="O14" s="394" t="n">
        <f aca="false">COUNTIF($J$23:$J$82,"&gt;-1")</f>
        <v>1</v>
      </c>
      <c r="P14" s="395"/>
      <c r="Q14" s="392"/>
      <c r="R14" s="285"/>
      <c r="S14" s="285"/>
      <c r="T14" s="285"/>
      <c r="U14" s="285"/>
      <c r="V14" s="285"/>
      <c r="W14" s="299"/>
    </row>
    <row r="15" customFormat="false" ht="12.75" hidden="false" customHeight="false" outlineLevel="0" collapsed="false">
      <c r="A15" s="396" t="s">
        <v>3415</v>
      </c>
      <c r="B15" s="397"/>
      <c r="C15" s="398"/>
      <c r="D15" s="361"/>
      <c r="E15" s="361"/>
      <c r="F15" s="378" t="n">
        <f aca="false">($B15*$B$7+$C15*$C$7)/100</f>
        <v>0</v>
      </c>
      <c r="G15" s="379"/>
      <c r="H15" s="333"/>
      <c r="I15" s="285"/>
      <c r="J15" s="380" t="s">
        <v>3416</v>
      </c>
      <c r="K15" s="380"/>
      <c r="L15" s="381" t="n">
        <f aca="false">(COUNTIF($G$23:$G$82,"=PHy"))+(COUNTIF($G$23:$G$82,"=PHe"))+(COUNTIF($G$23:$G$82,"=PHg"))+(COUNTIF($G$23:$G$82,"=PHx"))</f>
        <v>0</v>
      </c>
      <c r="M15" s="382"/>
      <c r="N15" s="390" t="s">
        <v>3417</v>
      </c>
      <c r="O15" s="391" t="n">
        <f aca="false">COUNTIF(K23:K82,"=1")</f>
        <v>0</v>
      </c>
      <c r="P15" s="373"/>
      <c r="Q15" s="392"/>
      <c r="R15" s="285"/>
      <c r="S15" s="285"/>
      <c r="T15" s="285"/>
      <c r="U15" s="285"/>
      <c r="V15" s="285"/>
      <c r="W15" s="299"/>
    </row>
    <row r="16" customFormat="false" ht="12.75" hidden="false" customHeight="false" outlineLevel="0" collapsed="false">
      <c r="A16" s="375" t="s">
        <v>3418</v>
      </c>
      <c r="B16" s="376"/>
      <c r="C16" s="377"/>
      <c r="D16" s="361"/>
      <c r="E16" s="361"/>
      <c r="F16" s="399"/>
      <c r="G16" s="400" t="n">
        <f aca="false">($B16*$B$7+$C16*$C$7)/100</f>
        <v>0</v>
      </c>
      <c r="H16" s="333"/>
      <c r="I16" s="285"/>
      <c r="J16" s="401"/>
      <c r="K16" s="402"/>
      <c r="L16" s="402"/>
      <c r="M16" s="382"/>
      <c r="N16" s="390" t="s">
        <v>3419</v>
      </c>
      <c r="O16" s="391" t="n">
        <f aca="false">COUNTIF(K23:K82,"=2")</f>
        <v>1</v>
      </c>
      <c r="P16" s="373"/>
      <c r="Q16" s="392"/>
      <c r="R16" s="285"/>
      <c r="S16" s="285"/>
      <c r="T16" s="285"/>
      <c r="U16" s="285"/>
      <c r="V16" s="285"/>
      <c r="W16" s="299"/>
    </row>
    <row r="17" customFormat="false" ht="12.75" hidden="false" customHeight="false" outlineLevel="0" collapsed="false">
      <c r="A17" s="383" t="s">
        <v>3420</v>
      </c>
      <c r="B17" s="384"/>
      <c r="C17" s="385"/>
      <c r="D17" s="361"/>
      <c r="E17" s="361"/>
      <c r="F17" s="403"/>
      <c r="G17" s="404" t="n">
        <f aca="false">($B17*$B$7+$C17*$C$7)/100</f>
        <v>0</v>
      </c>
      <c r="H17" s="333"/>
      <c r="I17" s="285"/>
      <c r="J17" s="405"/>
      <c r="K17" s="406"/>
      <c r="L17" s="407" t="s">
        <v>3421</v>
      </c>
      <c r="M17" s="408" t="str">
        <f aca="false">IF(ISERROR((O13-(COUNTIF(J23:J82,"nc")))/O13),"-",(O13-(COUNTIF(J23:J82,"nc")))/O13)</f>
        <v>-</v>
      </c>
      <c r="N17" s="390" t="s">
        <v>3422</v>
      </c>
      <c r="O17" s="391" t="n">
        <f aca="false">COUNTIF(K23:K82,"=3")</f>
        <v>0</v>
      </c>
      <c r="P17" s="373"/>
      <c r="Q17" s="392"/>
      <c r="R17" s="285"/>
      <c r="S17" s="285"/>
      <c r="T17" s="285"/>
      <c r="U17" s="285"/>
      <c r="V17" s="285"/>
      <c r="W17" s="409"/>
    </row>
    <row r="18" customFormat="false" ht="12.75" hidden="false" customHeight="false" outlineLevel="0" collapsed="false">
      <c r="A18" s="410" t="s">
        <v>3423</v>
      </c>
      <c r="B18" s="411"/>
      <c r="C18" s="412"/>
      <c r="D18" s="361"/>
      <c r="E18" s="413" t="s">
        <v>3424</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3425</v>
      </c>
      <c r="B20" s="433" t="n">
        <f aca="false">SUM(B23:B82)</f>
        <v>0</v>
      </c>
      <c r="C20" s="434" t="n">
        <f aca="false">SUM(C23:C82)</f>
        <v>0</v>
      </c>
      <c r="D20" s="435"/>
      <c r="E20" s="436" t="s">
        <v>3424</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3426</v>
      </c>
      <c r="B21" s="445" t="n">
        <f aca="false">B20*B7/100</f>
        <v>0</v>
      </c>
      <c r="C21" s="445" t="n">
        <f aca="false">C20*C7/100</f>
        <v>0</v>
      </c>
      <c r="D21" s="446" t="s">
        <v>3427</v>
      </c>
      <c r="E21" s="447"/>
      <c r="F21" s="448" t="n">
        <f aca="false">B21+C21</f>
        <v>0</v>
      </c>
      <c r="G21" s="449"/>
      <c r="H21" s="361"/>
      <c r="I21" s="285"/>
      <c r="J21" s="450"/>
      <c r="K21" s="450"/>
      <c r="L21" s="451"/>
      <c r="M21" s="451"/>
      <c r="N21" s="452"/>
      <c r="O21" s="452"/>
      <c r="P21" s="453"/>
      <c r="Q21" s="444"/>
      <c r="R21" s="285"/>
      <c r="S21" s="285"/>
      <c r="T21" s="454"/>
      <c r="U21" s="454"/>
      <c r="V21" s="285"/>
      <c r="W21" s="455"/>
      <c r="X21" s="456" t="s">
        <v>3428</v>
      </c>
    </row>
    <row r="22" customFormat="false" ht="12.75" hidden="false" customHeight="false" outlineLevel="0" collapsed="false">
      <c r="A22" s="457" t="s">
        <v>3429</v>
      </c>
      <c r="B22" s="458" t="s">
        <v>3430</v>
      </c>
      <c r="C22" s="458" t="s">
        <v>3430</v>
      </c>
      <c r="D22" s="459"/>
      <c r="E22" s="460"/>
      <c r="F22" s="461" t="s">
        <v>3431</v>
      </c>
      <c r="G22" s="462" t="s">
        <v>23</v>
      </c>
      <c r="H22" s="361" t="s">
        <v>24</v>
      </c>
      <c r="I22" s="285" t="s">
        <v>3432</v>
      </c>
      <c r="J22" s="463" t="s">
        <v>3433</v>
      </c>
      <c r="K22" s="463" t="s">
        <v>3434</v>
      </c>
      <c r="L22" s="464" t="s">
        <v>3435</v>
      </c>
      <c r="M22" s="464"/>
      <c r="N22" s="464"/>
      <c r="O22" s="464"/>
      <c r="P22" s="456" t="s">
        <v>3436</v>
      </c>
      <c r="Q22" s="465" t="s">
        <v>3437</v>
      </c>
      <c r="R22" s="466" t="s">
        <v>3438</v>
      </c>
      <c r="S22" s="467" t="s">
        <v>3439</v>
      </c>
      <c r="T22" s="468" t="s">
        <v>3440</v>
      </c>
      <c r="U22" s="468" t="s">
        <v>3441</v>
      </c>
      <c r="V22" s="469" t="s">
        <v>3442</v>
      </c>
      <c r="W22" s="470" t="s">
        <v>3443</v>
      </c>
      <c r="X22" s="471" t="s">
        <v>3444</v>
      </c>
      <c r="Y22" s="472" t="s">
        <v>3445</v>
      </c>
      <c r="Z22" s="472" t="s">
        <v>3446</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3447</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3447</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3447</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3447</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3447</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3447</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3447</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3447</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3447</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3447</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3447</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3447</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3447</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3447</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3447</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3447</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3447</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3447</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3447</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3447</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3447</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3447</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3447</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3447</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3447</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3447</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3447</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3447</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3447</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3447</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3447</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3447</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3447</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3447</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3447</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3447</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3447</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3447</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3447</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3447</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3447</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3447</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3447</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3447</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3447</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3447</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3447</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3447</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3447</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3447</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3447</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3447</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3447</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3447</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3447</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3447</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3447</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3447</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3447</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3447</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3478</v>
      </c>
      <c r="G20" s="7"/>
      <c r="H20" s="574" t="s">
        <v>3478</v>
      </c>
      <c r="I20" s="575"/>
    </row>
    <row r="21" customFormat="false" ht="13.8" hidden="false" customHeight="false" outlineLevel="0" collapsed="false">
      <c r="A21" s="562"/>
      <c r="B21" s="565" t="s">
        <v>2318</v>
      </c>
      <c r="C21" s="566"/>
      <c r="D21" s="567"/>
      <c r="F21" s="574" t="s">
        <v>3388</v>
      </c>
      <c r="G21" s="7"/>
      <c r="H21" s="574" t="s">
        <v>3388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3448</v>
      </c>
    </row>
    <row r="32" customFormat="false" ht="13.8" hidden="false" customHeight="false" outlineLevel="0" collapsed="false">
      <c r="A32" s="562"/>
      <c r="B32" s="565" t="s">
        <v>2325</v>
      </c>
      <c r="C32" s="566"/>
      <c r="D32" s="567"/>
      <c r="F32" s="581" t="s">
        <v>3447</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3401</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2017-05-10T07:31:03Z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