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22195" sheetId="6" state="visible" r:id="rId8"/>
    <sheet name="modele" sheetId="7" state="hidden" r:id="rId9"/>
    <sheet name="liste codes réf" sheetId="8" state="hidden" r:id="rId10"/>
  </sheets>
  <definedNames>
    <definedName function="false" hidden="false" localSheetId="5" name="_xlnm.Print_Area" vbProcedure="false">'06222195'!$A$1:$O$82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'06222195'!$A$23:$J$84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<sst xmlns="http://schemas.openxmlformats.org/spreadsheetml/2006/main" count="7366" uniqueCount="2732">
  <si>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</si>
  <si>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</si>
  <si>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</si>
  <si>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</si>
  <si>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</si>
  <si>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</si>
  <si>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</si>
  <si>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</si>
  <si>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</si>
  <si>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</si>
  <si>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</si>
  <si>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</si>
  <si>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</si>
  <si>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</si>
  <si>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</si>
  <si>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</si>
  <si>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</si>
  <si>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</si>
  <si>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</si>
  <si>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</si>
  <si>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</si>
  <si>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</si>
  <si>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</si>
  <si>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</si>
  <si>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</si>
  <si>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</si>
  <si>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</si>
  <si>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</si>
  <si>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</si>
  <si>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</si>
  <si>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</si>
  <si>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</si>
  <si>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</si>
  <si>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</si>
  <si>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</si>
  <si>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</si>
  <si>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</si>
  <si>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</si>
  <si>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</si>
  <si>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</si>
  <si>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</si>
  <si>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</si>
  <si>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</si>
  <si>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</si>
  <si>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</si>
  <si>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</si>
  <si>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</si>
  <si>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</si>
  <si>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</si>
  <si>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</si>
  <si>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</si>
  <si>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</si>
  <si>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</si>
  <si>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</si>
  <si>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</si>
  <si>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</si>
  <si>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</si>
  <si>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</si>
  <si>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</si>
  <si>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</si>
  <si>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</si>
  <si>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</si>
  <si>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</si>
  <si>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</si>
  <si>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</si>
  <si>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</si>
  <si>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</si>
  <si>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</si>
  <si>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</si>
  <si>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</si>
  <si>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</si>
  <si>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</si>
  <si>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</si>
  <si>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</si>
  <si>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</si>
  <si>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</si>
  <si>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</si>
  <si>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</si>
  <si>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</si>
  <si>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</si>
  <si>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</si>
  <si>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</si>
  <si>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</si>
  <si>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</si>
  <si>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</si>
  <si>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</si>
  <si>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</si>
  <si>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</si>
  <si>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</si>
  <si>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</si>
  <si>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</si>
  <si>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</si>
  <si>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</si>
  <si>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</si>
  <si>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</si>
  <si>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</si>
  <si>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</si>
  <si>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</si>
  <si>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</si>
  <si>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</si>
  <si>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</si>
  <si>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</si>
  <si>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</si>
  <si>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</si>
  <si>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</si>
  <si>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</si>
  <si>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</si>
  <si>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</si>
  <si>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</si>
  <si>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</si>
  <si>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</si>
  <si>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</si>
  <si>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</si>
  <si>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</si>
  <si>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</si>
  <si>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</si>
  <si>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</si>
  <si>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</si>
  <si>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</si>
  <si>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</si>
  <si>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</si>
  <si>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</si>
  <si>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</si>
  <si>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</si>
  <si>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</si>
  <si>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</si>
  <si>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</si>
  <si>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</si>
  <si>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</si>
  <si>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</si>
  <si>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</si>
  <si>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</si>
  <si>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</si>
  <si>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</si>
  <si>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</si>
  <si>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</si>
  <si>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</si>
  <si>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</si>
  <si>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</si>
  <si>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</si>
  <si>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</si>
  <si>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</si>
  <si>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</si>
  <si>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</si>
  <si>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</si>
  <si>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</si>
  <si>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</si>
  <si>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</si>
  <si>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</si>
  <si>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</si>
  <si>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</si>
  <si>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</si>
  <si>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</si>
  <si>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</si>
  <si>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</si>
  <si>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</si>
  <si>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</si>
  <si>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</si>
  <si>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</si>
  <si>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</si>
  <si>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</si>
  <si>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</si>
  <si>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</si>
  <si>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</si>
  <si>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</si>
  <si>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</si>
  <si>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</si>
  <si>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</si>
  <si>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</si>
  <si>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</si>
  <si>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</si>
  <si>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</si>
  <si>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</si>
  <si>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</si>
  <si>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</si>
  <si>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</si>
  <si>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</si>
  <si>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</si>
  <si>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</si>
  <si>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</si>
  <si>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</si>
  <si>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</si>
  <si>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</si>
  <si>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</si>
  <si>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</si>
  <si>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</si>
  <si>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</si>
  <si>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</si>
  <si>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</si>
  <si>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</si>
  <si>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</si>
  <si>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</si>
  <si>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</si>
  <si>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</si>
  <si>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</si>
  <si>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</si>
  <si>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</si>
  <si>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</si>
  <si>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</si>
  <si>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</si>
  <si>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</si>
  <si>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</si>
  <si>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</si>
  <si>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</si>
  <si>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</si>
  <si>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</si>
  <si>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</si>
  <si>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</si>
  <si>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</si>
  <si>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</si>
  <si>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</si>
  <si>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</si>
  <si>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</si>
  <si>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</si>
  <si>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</si>
  <si>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</si>
  <si>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</si>
  <si>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</si>
  <si>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</si>
  <si>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</si>
  <si>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</si>
  <si>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</si>
  <si>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</si>
  <si>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</si>
  <si>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</si>
  <si>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</si>
  <si>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</si>
  <si>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</si>
  <si>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</si>
  <si>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</si>
  <si>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</si>
  <si>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</si>
  <si>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</si>
  <si>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</si>
  <si>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</si>
  <si>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</si>
  <si>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</si>
  <si>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</si>
  <si>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</si>
  <si>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</si>
  <si>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</si>
  <si>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</si>
  <si>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</si>
  <si>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</si>
  <si>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</si>
  <si>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</si>
  <si>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</si>
  <si>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</si>
  <si>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</si>
  <si>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</si>
  <si>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</si>
  <si>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</si>
  <si>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</si>
  <si>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</si>
  <si>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</si>
  <si>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</si>
  <si>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</si>
  <si>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</si>
  <si>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</si>
  <si>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</si>
  <si>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</si>
  <si>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</si>
  <si>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</si>
  <si>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</si>
  <si>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</si>
  <si>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</si>
  <si>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</si>
  <si>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</si>
  <si>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</si>
  <si>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</si>
  <si>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</si>
  <si>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</si>
  <si>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</si>
  <si>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</si>
  <si>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</si>
  <si>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</si>
  <si>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</si>
  <si>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</si>
  <si>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</si>
  <si>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</si>
  <si>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</si>
  <si>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</si>
  <si>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</si>
  <si>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</si>
  <si>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</si>
  <si>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</si>
  <si>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</si>
  <si>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</si>
  <si>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</si>
  <si>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</si>
  <si>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</si>
  <si>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</si>
  <si>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</si>
  <si>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</si>
  <si>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</si>
  <si>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</si>
  <si>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</si>
  <si>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</si>
  <si>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</si>
  <si>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</si>
  <si>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</si>
  <si>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</si>
  <si>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</si>
  <si>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</si>
  <si>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</si>
  <si>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</si>
  <si>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</si>
  <si>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</si>
  <si>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</si>
  <si>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</si>
  <si>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</si>
  <si>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</si>
  <si>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</si>
  <si>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</si>
  <si>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</si>
  <si>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</si>
  <si>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</si>
  <si>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</si>
  <si>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</si>
  <si>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</si>
  <si>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</si>
  <si>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</si>
  <si>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</si>
  <si>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</si>
  <si>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</si>
  <si>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</si>
  <si>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</si>
  <si>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</si>
  <si>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</si>
  <si>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</si>
  <si>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</si>
  <si>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</si>
  <si>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</si>
  <si>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</si>
  <si>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</si>
  <si>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</si>
  <si>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</si>
  <si>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</si>
  <si>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</si>
  <si>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</si>
  <si>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</si>
  <si>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</si>
  <si>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</si>
  <si>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</si>
  <si>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</si>
  <si>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</si>
  <si>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</si>
  <si>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</si>
  <si>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</si>
  <si>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</si>
  <si>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</si>
  <si>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</si>
  <si>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</si>
  <si>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</si>
  <si>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</si>
  <si>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</si>
  <si>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</si>
  <si>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</si>
  <si>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</si>
  <si>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</si>
  <si>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</si>
  <si>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</si>
  <si>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</si>
  <si>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</si>
  <si>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</si>
  <si>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</si>
  <si>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</si>
  <si>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</si>
  <si>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</si>
  <si>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</si>
  <si>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</si>
  <si>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</si>
  <si>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</si>
  <si>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</si>
  <si>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</si>
  <si>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</si>
  <si>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</si>
  <si>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</si>
  <si>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</si>
  <si>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</si>
  <si>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</si>
  <si>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</si>
  <si>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</si>
  <si>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</si>
  <si>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</si>
  <si>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</si>
  <si>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</si>
  <si>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</si>
  <si>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</si>
  <si>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</si>
  <si>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</si>
  <si>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</si>
  <si>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</si>
  <si>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</si>
  <si>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</si>
  <si>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</si>
  <si>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</si>
  <si>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</si>
  <si>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</si>
  <si>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</si>
  <si>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</si>
  <si>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</si>
  <si>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</si>
  <si>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</si>
  <si>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</si>
  <si>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</si>
  <si>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</si>
  <si>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</si>
  <si>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</si>
  <si>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</si>
  <si>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</si>
  <si>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</si>
  <si>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</si>
  <si>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</si>
  <si>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</si>
  <si>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</si>
  <si>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</si>
  <si>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</si>
  <si>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</si>
  <si>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</si>
  <si>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</si>
  <si>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</si>
  <si>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</si>
  <si>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</si>
  <si>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</si>
  <si>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</si>
  <si>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</si>
  <si>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</si>
  <si>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</si>
  <si>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</si>
  <si>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</si>
  <si>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</si>
  <si>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</si>
  <si>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</si>
  <si>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</si>
  <si>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</si>
  <si>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</si>
  <si>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</si>
  <si>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</si>
  <si>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</si>
  <si>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</si>
  <si>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</si>
  <si>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</si>
  <si>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</si>
  <si>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</si>
  <si>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</si>
  <si>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</si>
  <si>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</si>
  <si>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</si>
  <si>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</si>
  <si>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</si>
  <si>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</si>
  <si>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</si>
  <si>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</si>
  <si>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</si>
  <si>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</si>
  <si>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</si>
  <si>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</si>
  <si>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</si>
  <si>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</si>
  <si>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</si>
  <si>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</si>
  <si>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</si>
  <si>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</si>
  <si>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</si>
  <si>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</si>
  <si>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</si>
  <si>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</si>
  <si>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</si>
  <si>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</si>
  <si>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</si>
  <si>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</si>
  <si>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</si>
  <si>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</si>
  <si>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</si>
  <si>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</si>
  <si>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</si>
  <si>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</si>
  <si>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</si>
  <si>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</si>
  <si>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</si>
  <si>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</si>
  <si>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</si>
  <si>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</si>
  <si>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</si>
  <si>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</si>
  <si>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</si>
  <si>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</si>
  <si>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</si>
  <si>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</si>
  <si>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</si>
  <si>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</si>
  <si>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</si>
  <si>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</si>
  <si>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</si>
  <si>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</si>
  <si>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</si>
  <si>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</si>
  <si>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</si>
  <si>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</si>
  <si>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</si>
  <si>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</si>
  <si>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</si>
  <si>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</si>
  <si>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</si>
  <si>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</si>
  <si>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</si>
  <si>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</si>
  <si>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</si>
  <si>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</si>
  <si>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</si>
  <si>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</si>
  <si>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</si>
  <si>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</si>
  <si>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</si>
  <si>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</si>
  <si>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</si>
  <si>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</si>
  <si>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</si>
  <si>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</si>
  <si>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</si>
  <si>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</si>
  <si>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</si>
  <si>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</si>
  <si>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</si>
  <si>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</si>
  <si>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</si>
  <si>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</si>
  <si>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</si>
  <si>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</si>
  <si>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</si>
  <si>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</si>
  <si>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</si>
  <si>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</si>
  <si>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</si>
  <si>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</si>
  <si>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</si>
  <si>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</si>
  <si>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</si>
  <si>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</si>
  <si>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</si>
  <si>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</si>
  <si>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</si>
  <si>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</si>
  <si>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</si>
  <si>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</si>
  <si>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</si>
  <si>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</si>
  <si>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</si>
  <si>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</si>
  <si>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</si>
  <si>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</si>
  <si>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</si>
  <si>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</si>
  <si>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</si>
  <si>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</si>
  <si>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</si>
  <si>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</si>
  <si>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</si>
  <si>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</si>
  <si>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</si>
  <si>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</si>
  <si>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</si>
  <si>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</si>
  <si>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</si>
  <si>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</si>
  <si>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</si>
  <si>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</si>
  <si>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</si>
  <si>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</si>
  <si>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</si>
  <si>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</si>
  <si>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</si>
  <si>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</si>
  <si>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</si>
  <si>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</si>
  <si>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</si>
  <si>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</si>
  <si>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</si>
  <si>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</si>
  <si>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</si>
  <si>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</si>
  <si>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</si>
  <si>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</si>
  <si>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</si>
  <si>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</si>
  <si>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</si>
  <si>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</si>
  <si>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</si>
  <si>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</si>
  <si>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</si>
  <si>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</si>
  <si>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</si>
  <si>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</si>
  <si>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</si>
  <si>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</si>
  <si>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</si>
  <si>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</si>
  <si>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</si>
  <si>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</si>
  <si>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</si>
  <si>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</si>
  <si>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</si>
  <si>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</si>
  <si>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</si>
  <si>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</si>
  <si>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</si>
  <si>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</si>
  <si>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</si>
  <si>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</si>
  <si>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</si>
  <si>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</si>
  <si>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</si>
  <si>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</si>
  <si>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</si>
  <si>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</si>
  <si>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</si>
  <si>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</si>
  <si>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</si>
  <si>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</si>
  <si>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</si>
  <si>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</si>
  <si>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</si>
  <si>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</si>
  <si>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</si>
  <si>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</si>
  <si>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</si>
  <si>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</si>
  <si>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</si>
  <si>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</si>
  <si>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</si>
  <si>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</si>
  <si>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</si>
  <si>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</si>
  <si>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</si>
  <si>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</si>
  <si>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</si>
  <si>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</si>
  <si>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</si>
  <si>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</si>
  <si>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</si>
  <si>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</si>
  <si>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</si>
  <si>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</si>
  <si>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</si>
  <si>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</si>
  <si>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</si>
  <si>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</si>
  <si>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</si>
  <si>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</si>
  <si>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</si>
  <si>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</si>
  <si>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</si>
  <si>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</si>
  <si>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</si>
  <si>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</si>
  <si>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</si>
  <si>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</si>
  <si>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</si>
  <si>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</si>
  <si>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</si>
  <si>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</si>
  <si>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</si>
  <si>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</si>
  <si>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</si>
  <si>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</si>
  <si>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</si>
  <si>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</si>
  <si>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</si>
  <si>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</si>
  <si>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</si>
  <si>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</si>
  <si>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</si>
  <si>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</si>
  <si>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</si>
  <si>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</si>
  <si>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</si>
  <si>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</si>
  <si>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</si>
  <si>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</si>
  <si>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</si>
  <si>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</si>
  <si>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</si>
  <si>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</si>
  <si>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</si>
  <si>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</si>
  <si>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</si>
  <si>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</si>
  <si>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</si>
  <si>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</si>
  <si>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</si>
  <si>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</si>
  <si>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</si>
  <si>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</si>
  <si>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</si>
  <si>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</si>
  <si>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</si>
  <si>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</si>
  <si>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</si>
  <si>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</si>
  <si>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</si>
  <si>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</si>
  <si>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</si>
  <si>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</si>
  <si>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</si>
  <si>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</si>
  <si>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</si>
  <si>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</si>
  <si>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</si>
  <si>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</si>
  <si>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</si>
  <si>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</si>
  <si>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</si>
  <si>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</si>
  <si>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</si>
  <si>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</si>
  <si>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</si>
  <si>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</si>
  <si>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</si>
  <si>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</si>
  <si>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</si>
  <si>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</si>
  <si>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</si>
  <si>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</si>
  <si>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</si>
  <si>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</si>
  <si>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</si>
  <si>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</si>
  <si>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</si>
  <si>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</si>
  <si>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</si>
  <si>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</si>
  <si>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</si>
  <si>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</si>
  <si>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</si>
  <si>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</si>
  <si>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</si>
  <si>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</si>
  <si>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</si>
  <si>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</si>
  <si>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</si>
  <si>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</si>
  <si>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</si>
  <si>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</si>
  <si>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</si>
  <si>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</si>
  <si>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</si>
  <si>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</si>
  <si>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</si>
  <si>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</si>
  <si>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</si>
  <si>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</si>
  <si>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</si>
  <si>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</si>
  <si>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</si>
  <si>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</si>
  <si>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</si>
  <si>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</si>
  <si>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</si>
  <si>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</si>
  <si>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</si>
  <si>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</si>
  <si>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</si>
  <si>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</si>
  <si>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</si>
  <si>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</si>
  <si>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</si>
  <si>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</si>
  <si>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</si>
  <si>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</si>
  <si>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</si>
  <si>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</si>
  <si>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</si>
  <si>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</si>
  <si>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</si>
  <si>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</si>
  <si>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</si>
  <si>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</si>
  <si>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</si>
  <si>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</si>
  <si>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</si>
  <si>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</si>
  <si>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</si>
  <si>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</si>
  <si>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</si>
  <si>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</si>
  <si>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</si>
  <si>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</si>
  <si>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</si>
  <si>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</si>
  <si>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</si>
  <si>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</si>
  <si>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</si>
  <si>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</si>
  <si>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</si>
  <si>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</si>
  <si>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</si>
  <si>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</si>
  <si>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</si>
  <si>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</si>
  <si>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</si>
  <si>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</si>
  <si>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</si>
  <si>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</si>
  <si>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</si>
  <si>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</si>
  <si>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</si>
  <si>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</si>
  <si>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</si>
  <si>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</si>
  <si>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</si>
  <si>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</si>
  <si>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</si>
  <si>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</si>
  <si>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</si>
  <si>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</si>
  <si>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</si>
  <si>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</si>
  <si>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</si>
  <si>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</si>
  <si>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</si>
  <si>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</si>
  <si>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</si>
  <si>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</si>
  <si>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</si>
  <si>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</si>
  <si>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</si>
  <si>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</si>
  <si>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</si>
  <si>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</si>
  <si>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</si>
  <si>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</si>
  <si>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</si>
  <si>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</si>
  <si>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</si>
  <si>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</si>
  <si>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</si>
  <si>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</si>
  <si>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</si>
  <si>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</si>
  <si>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</si>
  <si>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</si>
  <si>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</si>
  <si>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</si>
  <si>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</si>
  <si>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</si>
  <si>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</si>
  <si>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</si>
  <si>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</si>
  <si>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</si>
  <si>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</si>
  <si>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</si>
  <si>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</si>
  <si>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</si>
  <si>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</si>
  <si>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</si>
  <si>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</si>
  <si>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</si>
  <si>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</si>
  <si>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</si>
  <si>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</si>
  <si>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</si>
  <si>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</si>
  <si>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</si>
  <si>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</si>
  <si>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</si>
  <si>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</si>
  <si>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</si>
  <si>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</si>
  <si>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</si>
  <si>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</si>
  <si>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</si>
  <si>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</si>
  <si>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</si>
  <si>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</si>
  <si>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</si>
  <si>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</si>
  <si>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</si>
  <si>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</si>
  <si>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</si>
  <si>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</si>
  <si>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</si>
  <si>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</si>
  <si>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</si>
  <si>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</si>
  <si>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</si>
  <si>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</si>
  <si>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</si>
  <si>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</si>
  <si>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</si>
  <si>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</si>
  <si>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</si>
  <si>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</si>
  <si>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</si>
  <si>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</si>
  <si>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</si>
  <si>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</si>
  <si>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</si>
  <si>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</si>
  <si>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</si>
  <si>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</si>
  <si>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</si>
  <si>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</si>
  <si>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</si>
  <si>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</si>
  <si>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</si>
  <si>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</si>
  <si>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</si>
  <si>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</si>
  <si>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</si>
  <si>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</si>
  <si>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</si>
  <si>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</si>
  <si>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</si>
  <si>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</si>
  <si>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</si>
  <si>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</si>
  <si>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</si>
  <si>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</si>
  <si>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</si>
  <si>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</si>
  <si>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</si>
  <si>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</si>
  <si>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</si>
  <si>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</si>
  <si>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</si>
  <si>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</si>
  <si>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</si>
  <si>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</si>
  <si>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</si>
  <si>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</si>
  <si>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</si>
  <si>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</si>
  <si>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</si>
  <si>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</si>
  <si>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</si>
  <si>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</si>
  <si>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</si>
  <si>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</si>
  <si>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</si>
  <si>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</si>
  <si>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</si>
  <si>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</si>
  <si>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</si>
  <si>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</si>
  <si>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</si>
  <si>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</si>
  <si>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</si>
  <si>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</si>
  <si>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</si>
  <si>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</si>
  <si>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</si>
  <si>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</si>
  <si>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</si>
  <si>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</si>
  <si>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</si>
  <si>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</si>
  <si>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</si>
  <si>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</si>
  <si>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</si>
  <si>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</si>
  <si>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</si>
  <si>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</si>
  <si>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</si>
  <si>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</si>
  <si>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</si>
  <si>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</si>
  <si>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</si>
  <si>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</si>
  <si>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</si>
  <si>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</si>
  <si>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</si>
  <si>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</si>
  <si>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</si>
  <si>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</si>
  <si>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</si>
  <si>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</si>
  <si>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</si>
  <si>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</si>
  <si>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</si>
  <si>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</si>
  <si>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</si>
  <si>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</si>
  <si>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</si>
  <si>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</si>
  <si>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</si>
  <si>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</si>
  <si>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</si>
  <si>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</si>
  <si>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</si>
  <si>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</si>
  <si>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</si>
  <si>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</si>
  <si>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</si>
  <si>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</si>
  <si>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</si>
  <si>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</si>
  <si>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</si>
  <si>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</si>
  <si>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</si>
  <si>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</si>
  <si>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</si>
  <si>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</si>
  <si>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</si>
  <si>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</si>
  <si>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</si>
  <si>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</si>
  <si>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</si>
  <si>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</si>
  <si>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</si>
  <si>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</si>
  <si>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</si>
  <si>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</si>
  <si>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</si>
  <si>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</si>
  <si>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</si>
  <si>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</si>
  <si>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</si>
  <si>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</si>
  <si>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</si>
  <si>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</si>
  <si>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</si>
  <si>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</si>
  <si>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</si>
  <si>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</si>
  <si>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</si>
  <si>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</si>
  <si>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</si>
  <si>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</si>
  <si>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</si>
  <si>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</si>
  <si>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</si>
  <si>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</si>
  <si>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</si>
  <si>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</si>
  <si>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</si>
  <si>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</si>
  <si>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</si>
  <si>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</si>
  <si>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</si>
  <si>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</si>
  <si>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</si>
  <si>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</si>
  <si>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</si>
  <si>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</si>
  <si>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</si>
  <si>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</si>
  <si>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</si>
  <si>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</si>
  <si>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</si>
  <si>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</si>
  <si>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</si>
  <si>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</si>
  <si>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</si>
  <si>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</si>
  <si>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</si>
  <si>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</si>
  <si>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</si>
  <si>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</si>
  <si>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</si>
  <si>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</si>
  <si>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</si>
  <si>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</si>
  <si>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</si>
  <si>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</si>
  <si>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</si>
  <si>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</si>
  <si>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</si>
  <si>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</si>
  <si>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</si>
  <si>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</si>
  <si>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</si>
  <si>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</si>
  <si>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</si>
  <si>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</si>
  <si>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</si>
  <si>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</si>
  <si>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</si>
  <si>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</si>
  <si>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</si>
  <si>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</si>
  <si>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</si>
  <si>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</si>
  <si>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</si>
  <si>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</si>
  <si>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</si>
  <si>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</si>
  <si>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</si>
  <si>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</si>
  <si>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</si>
  <si>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</si>
  <si>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</si>
  <si>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</si>
  <si>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</si>
  <si>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</si>
  <si>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</si>
  <si>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</si>
  <si>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</si>
  <si>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</si>
  <si>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</si>
  <si>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</si>
  <si>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</si>
  <si>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</si>
  <si>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</si>
  <si>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</si>
  <si>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</si>
  <si>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</si>
  <si>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</si>
  <si>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</si>
  <si>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</si>
  <si>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</si>
  <si>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</si>
  <si>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</si>
  <si>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</si>
  <si>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</si>
  <si>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</si>
  <si>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</si>
  <si>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</si>
  <si>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</si>
  <si>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</si>
  <si>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</si>
  <si>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</si>
  <si>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</si>
  <si>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</si>
  <si>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</si>
  <si>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</si>
  <si>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</si>
  <si>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</si>
  <si>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</si>
  <si>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</si>
  <si>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</si>
  <si>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</si>
  <si>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</si>
  <si>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</si>
  <si>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</si>
  <si>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</si>
  <si>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</si>
  <si>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</si>
  <si>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</si>
  <si>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</si>
  <si>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</si>
  <si>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</si>
  <si>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</si>
  <si>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</si>
  <si>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</si>
  <si>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</si>
  <si>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</si>
  <si>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</si>
  <si>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</si>
  <si>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</si>
  <si>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</si>
  <si>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</si>
  <si>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</si>
  <si>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</si>
  <si>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</si>
  <si>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</si>
  <si>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</si>
  <si>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</si>
  <si>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</si>
  <si>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</si>
  <si>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</si>
  <si>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</si>
  <si>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</si>
  <si>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</si>
  <si>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</si>
  <si>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</si>
  <si>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</si>
  <si>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</si>
  <si>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</si>
  <si>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</si>
  <si>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</si>
  <si>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</si>
  <si>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</si>
  <si>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</si>
  <si>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</si>
  <si>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</si>
  <si>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</si>
  <si>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</si>
  <si>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</si>
  <si>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</si>
  <si>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</si>
  <si>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</si>
  <si>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</si>
  <si>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</si>
  <si>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</si>
  <si>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</si>
  <si>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</si>
  <si>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</si>
  <si>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</si>
  <si>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</si>
  <si>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</si>
  <si>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</si>
  <si>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</si>
  <si>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</si>
  <si>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</si>
  <si>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</si>
  <si>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</si>
  <si>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</si>
  <si>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</si>
  <si>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</si>
  <si>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</si>
  <si>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</si>
  <si>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</si>
  <si>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</si>
  <si>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</si>
  <si>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</si>
  <si>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</si>
  <si>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</si>
  <si>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</si>
  <si>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</si>
  <si>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</si>
  <si>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</si>
  <si>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</si>
  <si>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</si>
  <si>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</si>
  <si>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</si>
  <si>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</si>
  <si>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</si>
  <si>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</si>
  <si>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</si>
  <si>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</si>
  <si>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</si>
  <si>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</si>
  <si>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</si>
  <si>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</si>
  <si>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</si>
  <si>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</si>
  <si>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</si>
  <si>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</si>
  <si>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</si>
  <si>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</si>
  <si>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</si>
  <si>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</si>
  <si>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</si>
  <si>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</si>
  <si>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</si>
  <si>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</si>
  <si>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</si>
  <si>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</si>
  <si>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</si>
  <si>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</si>
  <si>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</si>
  <si>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</si>
  <si>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</si>
  <si>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</si>
  <si>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</si>
  <si>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</si>
  <si>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</si>
  <si>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</si>
  <si>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</si>
  <si>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</si>
  <si>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</si>
  <si>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</si>
  <si>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</si>
  <si>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</si>
  <si>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</si>
  <si>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</si>
  <si>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</si>
  <si>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</si>
  <si>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</si>
  <si>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</si>
  <si>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</si>
  <si>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</si>
  <si>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</si>
  <si>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</si>
  <si>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</si>
  <si>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</si>
  <si>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</si>
  <si>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</si>
  <si>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</si>
  <si>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</si>
  <si>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</si>
  <si>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</si>
  <si>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</si>
  <si>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</si>
  <si>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</si>
  <si>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</si>
  <si>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</si>
  <si>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</si>
  <si>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</si>
  <si>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</si>
  <si>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</si>
  <si>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</si>
  <si>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</si>
  <si>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</si>
  <si>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</si>
  <si>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</si>
  <si>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</si>
  <si>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</si>
  <si>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</si>
  <si>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</si>
  <si>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</si>
  <si>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</si>
  <si>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</si>
  <si>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</si>
  <si>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</si>
  <si>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</si>
  <si>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</si>
  <si>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</si>
  <si>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</si>
  <si>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</si>
  <si>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</si>
  <si>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</si>
  <si>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</si>
  <si>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</si>
  <si>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</si>
  <si>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</si>
  <si>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</si>
  <si>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</si>
  <si>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</si>
  <si>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</si>
  <si>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</si>
  <si>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</si>
  <si>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</si>
  <si>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</si>
  <si>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</si>
  <si>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</si>
  <si>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</si>
  <si>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</si>
  <si>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</si>
  <si>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</si>
  <si>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</si>
  <si>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</si>
  <si>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</si>
  <si>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</si>
  <si>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</si>
  <si>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</si>
  <si>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</si>
  <si>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</si>
  <si>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</si>
  <si>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</si>
  <si>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</si>
  <si>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</si>
  <si>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</si>
  <si>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</si>
  <si>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</si>
  <si>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</si>
  <si>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</si>
  <si>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</si>
  <si>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</si>
  <si>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</si>
  <si>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</si>
  <si>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</si>
  <si>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</si>
  <si>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</si>
  <si>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</si>
  <si>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</si>
  <si>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</si>
  <si>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</si>
  <si>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</si>
  <si>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</si>
  <si>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</si>
  <si>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</si>
  <si>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</si>
  <si>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</si>
  <si>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</si>
  <si>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</si>
  <si>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</si>
  <si>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</si>
  <si>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</si>
  <si>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</si>
  <si>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</si>
  <si>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</si>
  <si>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</si>
  <si>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</si>
  <si>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</si>
  <si>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</si>
  <si>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</si>
  <si>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</si>
  <si>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</si>
  <si>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</si>
  <si>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</si>
  <si>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</si>
  <si>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</si>
  <si>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</si>
  <si>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</si>
  <si>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</si>
  <si>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</si>
  <si>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</si>
  <si>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</si>
  <si>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</si>
  <si>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</si>
  <si>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</si>
  <si>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</si>
  <si>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</si>
  <si>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</si>
  <si>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</si>
  <si>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</si>
  <si>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</si>
  <si>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</si>
  <si>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</si>
  <si>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</si>
  <si>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</si>
  <si>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</si>
  <si>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</si>
  <si>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</si>
  <si>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</si>
  <si>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</si>
  <si>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</si>
  <si>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</si>
  <si>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</si>
  <si>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</si>
  <si>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</si>
  <si>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</si>
  <si>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</si>
  <si>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</si>
  <si>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</si>
  <si>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</si>
  <si>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</si>
  <si>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</si>
  <si>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</si>
  <si>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</si>
  <si>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</si>
  <si>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</si>
  <si>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</si>
  <si>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</si>
  <si>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</si>
  <si>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</si>
  <si>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</si>
  <si>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</si>
  <si>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</si>
  <si>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</si>
  <si>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</si>
  <si>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</si>
  <si>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</si>
  <si>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</si>
  <si>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</si>
  <si>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</si>
  <si>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</si>
  <si>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</si>
  <si>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</si>
  <si>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</si>
  <si>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</si>
  <si>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</si>
  <si>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</si>
  <si>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</si>
  <si>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</si>
  <si>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</si>
  <si>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</si>
  <si>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</si>
  <si>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</si>
  <si>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</si>
  <si>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</si>
  <si>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</si>
  <si>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</si>
  <si>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</si>
  <si>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</si>
  <si>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</si>
  <si>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</si>
  <si>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</si>
  <si>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</si>
  <si>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</si>
  <si>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</si>
  <si>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</si>
  <si>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</si>
  <si>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</si>
  <si>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</si>
  <si>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</si>
  <si>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</si>
  <si>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</si>
  <si>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</si>
  <si>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</si>
  <si>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</si>
  <si>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</si>
  <si>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</si>
  <si>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</si>
  <si>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</si>
  <si>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</si>
  <si>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</si>
  <si>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</si>
  <si>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</si>
  <si>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</si>
  <si>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</si>
  <si>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</si>
  <si>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</si>
  <si>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</si>
  <si>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</si>
  <si>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</si>
  <si>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</si>
  <si>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</si>
  <si>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</si>
  <si>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</si>
  <si>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</si>
  <si>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</si>
  <si>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</si>
  <si>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</si>
  <si>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</si>
  <si>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</si>
  <si>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</si>
  <si>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</si>
  <si>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</si>
  <si>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</si>
  <si>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</si>
  <si>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</si>
  <si>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</si>
  <si>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</si>
  <si>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</si>
  <si>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</si>
  <si>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</si>
  <si>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</si>
  <si>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</si>
  <si>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</si>
  <si>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</si>
  <si>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</si>
  <si>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</si>
  <si>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</si>
  <si>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</si>
  <si>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</si>
  <si>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</si>
  <si>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</si>
  <si>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</si>
  <si>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</si>
  <si>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</si>
  <si>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</si>
  <si>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</si>
  <si>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</si>
  <si>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</si>
  <si>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</si>
  <si>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</si>
  <si>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</si>
  <si>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</si>
  <si>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</si>
  <si>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</si>
  <si>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</si>
  <si>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</si>
  <si>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</si>
  <si>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</si>
  <si>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</si>
  <si>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</si>
  <si>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</si>
  <si>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</si>
  <si>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</si>
  <si>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</si>
  <si>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</si>
  <si>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</si>
  <si>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</si>
  <si>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</si>
  <si>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</si>
  <si>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</si>
  <si>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</si>
  <si>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</si>
  <si>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</si>
  <si>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</si>
  <si>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</si>
  <si>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</si>
  <si>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</si>
  <si>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</si>
  <si>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</si>
  <si>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</si>
  <si>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</si>
  <si>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</si>
  <si>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</si>
  <si>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</si>
  <si>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</si>
  <si>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</si>
  <si>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</si>
  <si>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</si>
  <si>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</si>
  <si>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</si>
  <si>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</si>
  <si>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</si>
  <si>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</si>
  <si>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</si>
  <si>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</si>
  <si>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</si>
  <si>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</si>
  <si>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</si>
  <si>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</si>
  <si>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</si>
  <si>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</si>
  <si>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</si>
  <si>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</si>
  <si>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</si>
  <si>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</si>
  <si>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</si>
  <si>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</si>
  <si>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</si>
  <si>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</si>
  <si>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</si>
  <si>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</si>
  <si>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</si>
  <si>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</si>
  <si>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</si>
  <si>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</si>
  <si>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</si>
  <si>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</si>
  <si>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</si>
  <si>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</si>
  <si>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</si>
  <si>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</si>
  <si>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</si>
  <si>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</si>
  <si>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</si>
  <si>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</si>
  <si>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</si>
  <si>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</si>
  <si>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</si>
  <si>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</si>
  <si>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</si>
  <si>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</si>
  <si>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</si>
  <si>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</si>
  <si>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</si>
  <si>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</si>
  <si>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</si>
  <si>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</si>
  <si>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</si>
  <si>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</si>
  <si>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</si>
  <si>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</si>
  <si>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</si>
  <si>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</si>
  <si>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</si>
  <si>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</si>
  <si>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</si>
  <si>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</si>
  <si>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</si>
  <si>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</si>
  <si>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</si>
  <si>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</si>
  <si>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</si>
  <si>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</si>
  <si>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</si>
  <si>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</si>
  <si>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</si>
  <si>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</si>
  <si>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</si>
  <si>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</si>
  <si>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</si>
  <si>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</si>
  <si>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</si>
  <si>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</si>
  <si>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</si>
  <si>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</si>
  <si>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</si>
  <si>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</si>
  <si>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</si>
  <si>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</si>
  <si>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</si>
  <si>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</si>
  <si>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</si>
  <si>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</si>
  <si>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</si>
  <si>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</si>
  <si>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</si>
  <si>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</si>
  <si>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</si>
  <si>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</si>
  <si>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</si>
  <si>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</si>
  <si>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</si>
  <si>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</si>
  <si>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</si>
  <si>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</si>
  <si>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</si>
  <si>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</si>
  <si>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</si>
  <si>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</si>
  <si>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</si>
  <si>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</si>
  <si>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</si>
  <si>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</si>
  <si>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</si>
  <si>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</si>
  <si>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</si>
  <si>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</si>
  <si>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</si>
  <si>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</si>
  <si>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</si>
  <si>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</si>
  <si>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</si>
  <si>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</si>
  <si>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</si>
  <si>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</si>
  <si>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</si>
  <si>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</si>
  <si>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</si>
  <si>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</si>
  <si>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</si>
  <si>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</si>
  <si>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</si>
  <si>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</si>
  <si>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</si>
  <si>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</si>
  <si>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</si>
  <si>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</si>
  <si>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</si>
  <si>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</si>
  <si>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</si>
  <si>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</si>
  <si>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</si>
  <si>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</si>
  <si>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</si>
  <si>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</si>
  <si>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</si>
  <si>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</si>
  <si>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</si>
  <si>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</si>
  <si>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</si>
  <si>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</si>
  <si>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</si>
  <si>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</si>
  <si>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</si>
  <si>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</si>
  <si>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</si>
  <si>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</si>
  <si>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</si>
  <si>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</si>
  <si>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</si>
  <si>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</si>
  <si>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</si>
  <si>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</si>
  <si>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</si>
  <si>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</si>
  <si>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</si>
  <si>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</si>
  <si>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</si>
  <si>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</si>
  <si>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</si>
  <si>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</si>
  <si>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</si>
  <si>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</si>
  <si>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</si>
  <si>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</si>
  <si>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</si>
  <si>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</si>
  <si>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</si>
  <si>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</si>
  <si>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</si>
  <si>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</si>
  <si>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</si>
  <si>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</si>
  <si>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</si>
  <si>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</si>
  <si>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</si>
  <si>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</si>
  <si>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</si>
  <si>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</si>
  <si>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</si>
  <si>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</si>
  <si>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</si>
  <si>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</si>
  <si>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</si>
  <si>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</si>
  <si>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</si>
  <si>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</si>
  <si>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</si>
  <si>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</si>
  <si>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</si>
  <si>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</si>
  <si>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</si>
  <si>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</si>
  <si>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</si>
  <si>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</si>
  <si>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</si>
  <si>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</si>
  <si>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</si>
  <si>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</si>
  <si>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</si>
  <si>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</si>
  <si>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</si>
  <si>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</si>
  <si>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</si>
  <si>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</si>
  <si>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</si>
  <si>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</si>
  <si>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</si>
  <si>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</si>
  <si>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</si>
  <si>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</si>
  <si>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</si>
  <si>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</si>
  <si>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</si>
  <si>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</si>
  <si>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</si>
  <si>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</si>
  <si>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</si>
  <si>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</si>
  <si>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</si>
  <si>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</si>
  <si>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</si>
  <si>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</si>
  <si>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</si>
  <si>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</si>
  <si>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</si>
  <si>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</si>
  <si>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</si>
  <si>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</si>
  <si>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</si>
  <si>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</si>
  <si>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</si>
  <si>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</si>
  <si>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</si>
  <si>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</si>
  <si>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</si>
  <si>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</si>
  <si>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</si>
  <si>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</si>
  <si>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</si>
  <si>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</si>
  <si>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</si>
  <si>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</si>
  <si>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</si>
  <si>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</si>
  <si>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</si>
  <si>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</si>
  <si>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</si>
  <si>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</si>
  <si>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</si>
  <si>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</si>
  <si>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</si>
  <si>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</si>
  <si>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</si>
  <si>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</si>
  <si>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</si>
  <si>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</si>
  <si>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</si>
  <si>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</si>
  <si>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</si>
  <si>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</si>
  <si>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</si>
  <si>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</si>
  <si>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</si>
  <si>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</si>
  <si>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</si>
  <si>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</si>
  <si>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</si>
  <si>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</si>
  <si>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</si>
  <si>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</si>
  <si>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</si>
  <si>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</si>
  <si>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</si>
  <si>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</si>
  <si>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</si>
  <si>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</si>
  <si>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</si>
  <si>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</si>
  <si>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</si>
  <si>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</si>
  <si>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</si>
  <si>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</si>
  <si>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</si>
  <si>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</si>
  <si>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</si>
  <si>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</si>
  <si>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</si>
  <si>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</si>
  <si>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</si>
  <si>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</si>
  <si>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</si>
  <si>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</si>
  <si>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</si>
  <si>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</si>
  <si>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</si>
  <si>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</si>
  <si>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</si>
  <si>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</si>
  <si>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</si>
  <si>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</si>
  <si>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</si>
  <si>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</si>
  <si>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</si>
  <si>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</si>
  <si>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</si>
  <si>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</si>
  <si>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</si>
  <si>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</si>
  <si>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</si>
  <si>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</si>
  <si>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</si>
  <si>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</si>
  <si>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</si>
  <si>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</si>
  <si>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</si>
  <si>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</si>
  <si>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</si>
  <si>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</si>
  <si>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</si>
  <si>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</si>
  <si>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</si>
  <si>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</si>
  <si>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</si>
  <si>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</si>
  <si>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</si>
  <si>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</si>
  <si>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</si>
  <si>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</si>
  <si>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</si>
  <si>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</si>
  <si>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</si>
  <si>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</si>
  <si>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</si>
  <si>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</si>
  <si>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</si>
  <si>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</si>
  <si>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</si>
  <si>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</si>
  <si>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</si>
  <si>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</si>
  <si>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</si>
  <si>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</si>
  <si>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</si>
  <si>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</si>
  <si>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</si>
  <si>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</si>
  <si>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</si>
  <si>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</si>
  <si>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</si>
  <si>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</si>
  <si>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</si>
  <si>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</si>
  <si>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</si>
  <si>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</si>
  <si>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</si>
  <si>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</si>
  <si>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</si>
  <si>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</si>
  <si>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</si>
  <si>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</si>
  <si>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</si>
  <si>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</si>
  <si>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</si>
  <si>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</si>
  <si>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</si>
  <si>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</si>
  <si>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</si>
  <si>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</si>
  <si>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</si>
  <si>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</si>
  <si>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</si>
  <si>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</si>
  <si>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</si>
  <si>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</si>
  <si>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</si>
  <si>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</si>
  <si>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</si>
  <si>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</si>
  <si>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</si>
  <si>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</si>
  <si>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</si>
  <si>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</si>
  <si>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</si>
  <si>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</si>
  <si>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</si>
  <si>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</si>
  <si>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</si>
  <si>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</si>
  <si>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</si>
  <si>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</si>
  <si>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</si>
  <si>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</si>
  <si>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</si>
  <si>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</si>
  <si>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</si>
  <si>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</si>
  <si>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</si>
  <si>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</si>
  <si>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</si>
  <si>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</si>
  <si>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</si>
  <si>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</si>
  <si>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</si>
  <si>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</si>
  <si>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</si>
  <si>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</si>
  <si>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</si>
  <si>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</si>
  <si>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</si>
  <si>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</si>
  <si>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</si>
  <si>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</si>
  <si>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</si>
  <si>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</si>
  <si>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</si>
  <si>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</si>
  <si>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</si>
  <si>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</si>
  <si>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</si>
  <si>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</si>
  <si>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</si>
  <si>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</si>
  <si>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</si>
  <si>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</si>
  <si>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</si>
  <si>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</si>
  <si>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</si>
  <si>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</si>
  <si>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</si>
  <si>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</si>
  <si>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</si>
  <si>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</si>
  <si>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</si>
  <si>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</si>
  <si>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</si>
  <si>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</si>
  <si>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</si>
  <si>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</si>
  <si>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</si>
  <si>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</si>
  <si>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</si>
  <si>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</si>
  <si>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</si>
  <si>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</si>
  <si>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</si>
  <si>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</si>
  <si>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</si>
  <si>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</si>
  <si>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</si>
  <si>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</si>
  <si>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</si>
  <si>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</si>
  <si>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</si>
  <si>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</si>
  <si>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</si>
  <si>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</si>
  <si>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</si>
  <si>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</si>
  <si>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</si>
  <si>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</si>
  <si>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</si>
  <si>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</si>
  <si>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</si>
  <si>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</si>
  <si>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</si>
  <si>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</si>
  <si>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</si>
  <si>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</si>
  <si>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</si>
  <si>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</si>
  <si>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</si>
  <si>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</si>
  <si>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</si>
  <si>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</si>
  <si>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</si>
  <si>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</si>
  <si>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</si>
  <si>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</si>
  <si>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</si>
  <si>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</si>
  <si>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</si>
  <si>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</si>
  <si>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</si>
  <si>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</si>
  <si>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</si>
  <si>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</si>
  <si>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</si>
  <si>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</si>
  <si>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</si>
  <si>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</si>
  <si>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</si>
  <si>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</si>
  <si>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</si>
  <si>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</si>
  <si>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</si>
  <si>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</si>
  <si>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</si>
  <si>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</si>
  <si>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</si>
  <si>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</si>
  <si>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</si>
  <si>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</si>
  <si>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</si>
  <si>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</si>
  <si>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</si>
  <si>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</si>
  <si>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</si>
  <si>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</si>
  <si>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</si>
  <si>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</si>
  <si>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</si>
  <si>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</si>
  <si>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</si>
  <si>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</si>
  <si>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</si>
  <si>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</si>
  <si>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</si>
  <si>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</si>
  <si>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</si>
  <si>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</si>
  <si>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</si>
  <si>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</si>
  <si>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</si>
  <si>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</si>
  <si>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</si>
  <si>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</si>
  <si>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</si>
  <si>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</si>
  <si>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</si>
  <si>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</si>
  <si>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</si>
  <si>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</si>
  <si>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</si>
  <si>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</si>
  <si>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</si>
  <si>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</si>
  <si>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</si>
  <si>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</si>
  <si>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</si>
  <si>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</si>
  <si>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</si>
  <si>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</si>
  <si>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</si>
  <si>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</si>
  <si>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</si>
  <si>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</si>
  <si>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</si>
  <si>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</si>
  <si>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</si>
  <si>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</si>
  <si>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</si>
  <si>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</si>
  <si>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</si>
  <si>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</si>
  <si>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</si>
  <si>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</si>
  <si>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</si>
  <si>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</si>
  <si>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</si>
  <si>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</si>
  <si>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</si>
  <si>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</si>
  <si>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</si>
  <si>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</si>
  <si>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</si>
  <si>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</si>
  <si>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</si>
  <si>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</si>
  <si>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</si>
  <si>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</si>
  <si>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</si>
  <si>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</si>
  <si>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</si>
  <si>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</si>
  <si>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</si>
  <si>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</si>
  <si>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</si>
  <si>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</si>
  <si>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</si>
  <si>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</si>
  <si>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</si>
  <si>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</si>
  <si>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</si>
  <si>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</si>
  <si>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</si>
  <si>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</si>
  <si>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</si>
  <si>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</si>
  <si>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</si>
  <si>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</si>
  <si>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</si>
  <si>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</si>
  <si>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</si>
  <si>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</si>
  <si>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</si>
  <si>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</si>
  <si>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</si>
  <si>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</si>
  <si>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</si>
  <si>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</si>
  <si>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</si>
  <si>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</si>
  <si>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</si>
  <si>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</si>
  <si>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</si>
  <si>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</si>
  <si>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</si>
  <si>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</si>
  <si>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</si>
  <si>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</si>
  <si>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</si>
  <si>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</si>
  <si>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</si>
  <si>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</si>
  <si>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</si>
  <si>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</si>
  <si>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</si>
  <si>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</si>
  <si>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</si>
  <si>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</si>
  <si>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</si>
  <si>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</si>
  <si>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</si>
  <si>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</si>
  <si>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</si>
  <si>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</si>
  <si>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</si>
  <si>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</si>
  <si>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</si>
  <si>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</si>
  <si>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</si>
  <si>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</si>
  <si>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</si>
  <si>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</si>
  <si>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</si>
  <si>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</si>
  <si>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</si>
  <si>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</si>
  <si>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</si>
  <si>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</si>
  <si>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</si>
  <si>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</si>
  <si>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</si>
  <si>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</si>
  <si>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</si>
  <si>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</si>
  <si>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</si>
  <si>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</si>
  <si>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</si>
  <si>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</si>
  <si>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</si>
  <si>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</si>
  <si>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</si>
  <si>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</si>
  <si>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</si>
  <si>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</si>
  <si>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</si>
  <si>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</si>
  <si>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</si>
  <si>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</si>
  <si>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</si>
  <si>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</si>
  <si>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</si>
  <si>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</si>
  <si>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</si>
  <si>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</si>
  <si>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</si>
  <si>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</si>
  <si>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</si>
  <si>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</si>
  <si>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</si>
  <si>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</si>
  <si>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</si>
  <si>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</si>
  <si>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</si>
  <si>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</si>
  <si>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</si>
  <si>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</si>
  <si>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</si>
  <si>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</si>
  <si>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</si>
  <si>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</si>
  <si>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</si>
  <si>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</si>
  <si>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</si>
  <si>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</si>
  <si>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</si>
  <si>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</si>
  <si>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</si>
  <si>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</si>
  <si>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</si>
  <si>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</si>
  <si>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</si>
  <si>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</si>
  <si>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</si>
  <si>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</si>
  <si>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</si>
  <si>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</si>
  <si>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</si>
  <si>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</si>
  <si>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</si>
  <si>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</si>
  <si>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</si>
  <si>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</si>
  <si>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</si>
  <si>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</si>
  <si>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</si>
  <si>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</si>
  <si>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</si>
  <si>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</si>
  <si>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</si>
  <si>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</si>
  <si>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</si>
  <si>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</si>
  <si>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</si>
  <si>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</si>
  <si>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</si>
  <si>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</si>
  <si>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</si>
  <si>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</si>
  <si>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</si>
  <si>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</si>
  <si>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</si>
  <si>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</si>
  <si>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</si>
  <si>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</si>
  <si>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</si>
  <si>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</si>
  <si>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</si>
  <si>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</si>
  <si>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</si>
  <si>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</si>
  <si>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</si>
  <si>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</si>
  <si>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</si>
  <si>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</si>
  <si>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</si>
  <si>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</si>
  <si>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</si>
  <si>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</si>
  <si>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</si>
  <si>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</si>
  <si>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</si>
  <si>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</si>
  <si>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</si>
  <si>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</si>
  <si>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</si>
  <si>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</si>
  <si>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</si>
  <si>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</si>
  <si>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</si>
  <si>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</si>
  <si>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</si>
  <si>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</si>
  <si>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</si>
  <si>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</si>
  <si>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</si>
  <si>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</si>
  <si>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</si>
  <si>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</si>
  <si>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</si>
  <si>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</si>
  <si>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</si>
  <si>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</si>
  <si>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</si>
  <si>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</si>
  <si>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</si>
  <si>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</si>
  <si>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</si>
  <si>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</si>
  <si>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</si>
  <si>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</si>
  <si>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</si>
  <si>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</si>
  <si>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</si>
  <si>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</si>
  <si>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</si>
  <si>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</si>
  <si>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</si>
  <si>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</si>
  <si>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</si>
  <si>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</si>
  <si>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</si>
  <si>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</si>
  <si>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</si>
  <si>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</si>
  <si>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</si>
  <si>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</si>
  <si>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</si>
  <si>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</si>
  <si>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</si>
  <si>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</si>
  <si>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</si>
  <si>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</si>
  <si>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</si>
  <si>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</si>
  <si>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</si>
  <si>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</si>
  <si>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</si>
  <si>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</si>
  <si>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</si>
  <si>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</si>
  <si>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</si>
  <si>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</si>
  <si>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</si>
  <si>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</si>
  <si>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</si>
  <si>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</si>
  <si>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</si>
  <si>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</si>
  <si>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</si>
  <si>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</si>
  <si>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</si>
  <si>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</si>
  <si>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</si>
  <si>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</si>
  <si>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</si>
  <si>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</si>
  <si>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</si>
  <si>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</si>
  <si>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</si>
  <si>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</si>
  <si>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</si>
  <si>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</si>
  <si>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</si>
  <si>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</si>
  <si>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</si>
  <si>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</si>
  <si>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</si>
  <si>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</si>
  <si>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</si>
  <si>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</si>
  <si>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</si>
  <si>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</si>
  <si>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</si>
  <si>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</si>
  <si>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</si>
  <si>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</si>
  <si>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</si>
  <si>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</si>
  <si>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</si>
  <si>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</si>
  <si>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</si>
  <si>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</si>
  <si>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</si>
  <si>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</si>
  <si>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</si>
  <si>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</si>
  <si>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</si>
  <si>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</si>
  <si>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</si>
  <si>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</si>
  <si>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</si>
  <si>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</si>
  <si>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</si>
  <si>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</si>
  <si>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</si>
  <si>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</si>
  <si>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</si>
  <si>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</si>
  <si>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</si>
  <si>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</si>
  <si>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</si>
  <si>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</si>
  <si>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</si>
  <si>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</si>
  <si>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</si>
  <si>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</si>
  <si>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</si>
  <si>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</si>
  <si>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</si>
  <si>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</si>
  <si>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</si>
  <si>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</si>
  <si>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</si>
  <si>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</si>
  <si>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</si>
  <si>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</si>
  <si>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</si>
  <si>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</si>
  <si>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</si>
  <si>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</si>
  <si>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</si>
  <si>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</si>
  <si>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</si>
  <si>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</si>
  <si>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</si>
  <si>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</si>
  <si>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</si>
  <si>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</si>
  <si>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</si>
  <si>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</si>
  <si>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</si>
  <si>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</si>
  <si>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</si>
  <si>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</si>
  <si>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</si>
  <si>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</si>
  <si>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</si>
  <si>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</si>
  <si>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</si>
  <si>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</si>
  <si>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</si>
  <si>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</si>
  <si>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</si>
  <si>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</si>
  <si>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</si>
  <si>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</si>
  <si>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</si>
  <si>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</si>
  <si>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</si>
  <si>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</si>
  <si>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</si>
  <si>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</si>
  <si>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</si>
  <si>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</si>
  <si>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</si>
  <si>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</si>
  <si>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</si>
  <si>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</si>
  <si>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</si>
  <si>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</si>
  <si>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</si>
  <si>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</si>
  <si>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</si>
  <si>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</si>
  <si>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</si>
  <si>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</si>
  <si>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</si>
  <si>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</si>
  <si>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</si>
  <si>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</si>
  <si>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</si>
  <si>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</si>
  <si>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</si>
  <si>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</si>
  <si>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</si>
  <si>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</si>
  <si>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</si>
  <si>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</si>
  <si>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</si>
  <si>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</si>
  <si>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</si>
  <si>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</si>
  <si>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</si>
  <si>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</si>
  <si>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</si>
  <si>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</si>
  <si>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</si>
  <si>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</si>
  <si>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</si>
  <si>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</si>
  <si>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</si>
  <si>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</si>
  <si>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</si>
  <si>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</si>
  <si>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</si>
  <si>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</si>
  <si>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</si>
  <si>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</si>
  <si>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</si>
  <si>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</si>
  <si>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</si>
  <si>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</si>
  <si>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</si>
  <si>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</si>
  <si>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</si>
  <si>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</si>
  <si>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</si>
  <si>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</si>
  <si>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</si>
  <si>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</si>
  <si>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</si>
  <si>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</si>
  <si>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</si>
  <si>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</si>
  <si>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</si>
  <si>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</si>
  <si>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</si>
  <si>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</si>
  <si>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</si>
  <si>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</si>
  <si>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</si>
  <si>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</si>
  <si>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</si>
  <si>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</si>
  <si>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</si>
  <si>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</si>
  <si>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</si>
  <si>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</si>
  <si>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</si>
  <si>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</si>
  <si>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</si>
  <si>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</si>
  <si>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</si>
  <si>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</si>
  <si>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</si>
  <si>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</si>
  <si>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</si>
  <si>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</si>
  <si>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</si>
  <si>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</si>
  <si>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</si>
  <si>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</si>
  <si>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</si>
  <si>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</si>
  <si>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</si>
  <si>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</si>
  <si>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</si>
  <si>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</si>
  <si>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</si>
  <si>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</si>
  <si>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</si>
  <si>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</si>
  <si>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</si>
  <si>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</si>
  <si>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</si>
  <si>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</si>
  <si>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</si>
  <si>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</si>
  <si>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</si>
  <si>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</si>
  <si>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</si>
  <si>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</si>
  <si>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</si>
  <si>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</si>
  <si>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</si>
  <si>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</si>
  <si>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</si>
  <si>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</si>
  <si>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</si>
  <si>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</si>
  <si>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</si>
  <si>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</si>
  <si>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</si>
  <si>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</si>
  <si>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</si>
  <si>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</si>
  <si>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</si>
  <si>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</si>
  <si>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</si>
  <si>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</si>
  <si>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</si>
  <si>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</si>
  <si>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</si>
  <si>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</si>
  <si>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</si>
  <si>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</si>
  <si>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</si>
  <si>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</si>
  <si>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</si>
  <si>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V. Bouchareychas ; S. Charpenteau</t>
  </si>
  <si>
    <t xml:space="preserve">conforme AFNOR T90-395 oct. 2003</t>
  </si>
  <si>
    <t xml:space="preserve">Travo</t>
  </si>
  <si>
    <t xml:space="preserve">Ventiseri</t>
  </si>
  <si>
    <t xml:space="preserve">06222195</t>
  </si>
  <si>
    <t xml:space="preserve">7178c IBMR Corse</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</si>
  <si>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</si>
  <si>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</si>
  <si>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</si>
  <si>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</si>
  <si>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</si>
  <si>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</si>
  <si>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</si>
  <si>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</si>
  <si>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</si>
  <si>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</si>
  <si>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</si>
  <si>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</si>
  <si>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</si>
  <si>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</si>
  <si>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</si>
  <si>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</si>
  <si>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</si>
  <si>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</si>
  <si>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</si>
  <si>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</si>
  <si>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</si>
  <si>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</si>
  <si>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</si>
  <si>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</si>
  <si>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</si>
  <si>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</si>
  <si>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</si>
  <si>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</si>
  <si>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</si>
  <si>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</si>
  <si>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</si>
  <si>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</si>
  <si>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</si>
  <si>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</si>
  <si>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</si>
  <si>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</si>
  <si>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</si>
  <si>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</si>
  <si>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</si>
  <si>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</si>
  <si>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</si>
  <si>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</si>
  <si>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</si>
  <si>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</si>
  <si>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</si>
  <si>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</si>
  <si>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</si>
  <si>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</si>
  <si>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</si>
  <si>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(1,2175 %)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</si>
  <si>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</si>
  <si>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</si>
  <si>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</si>
  <si>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</si>
  <si>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</si>
  <si>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</si>
  <si>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</si>
  <si>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</si>
  <si>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</si>
  <si>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</si>
  <si>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</si>
  <si>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</si>
  <si>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</si>
  <si>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</si>
  <si>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</si>
  <si>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</si>
  <si>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</si>
  <si>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</si>
  <si>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</si>
  <si>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</si>
  <si>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Bellium bellioides</t>
  </si>
  <si>
    <t xml:space="preserve">Mougeotiopsis sp.</t>
  </si>
  <si>
    <t xml:space="preserve">Solenopsis minuta ssp. corsica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</si>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</sst>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2">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sz val="11"/>
      <color rgb="FF000000"/>
      <name val="Calibri"/>
      <family val="2"/>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i val="true"/>
      <sz val="10"/>
      <color rgb="FF000000"/>
      <name val="Arial"/>
      <family val="2"/>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41827</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12.5384615384615</v>
      </c>
      <c r="M5" s="323"/>
      <c r="N5" s="324" t="s">
        <v>1936</v>
      </c>
      <c r="O5" s="325" t="n">
        <v>12.6363636363636</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70</v>
      </c>
      <c r="C7" s="337" t="n">
        <v>30</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5.63157894736842</v>
      </c>
      <c r="O8" s="354" t="n">
        <f aca="false">IF(ISERROR(AVERAGE(J23:J82)),"      -",AVERAGE(J23:J82))</f>
        <v>0.631578947368421</v>
      </c>
      <c r="P8" s="355"/>
      <c r="Q8" s="280"/>
      <c r="R8" s="280"/>
      <c r="S8" s="280"/>
      <c r="T8" s="280"/>
      <c r="U8" s="280"/>
      <c r="V8" s="280"/>
      <c r="W8" s="292"/>
      <c r="X8" s="293"/>
    </row>
    <row r="9" customFormat="false" ht="13.5" hidden="false" customHeight="false" outlineLevel="0" collapsed="false">
      <c r="A9" s="313" t="s">
        <v>2635</v>
      </c>
      <c r="B9" s="356" t="n">
        <v>1.35</v>
      </c>
      <c r="C9" s="357" t="n">
        <v>0.9</v>
      </c>
      <c r="D9" s="358"/>
      <c r="E9" s="358"/>
      <c r="F9" s="359" t="n">
        <f aca="false">($B9*$B$7+$C9*$C$7)/100</f>
        <v>1.215</v>
      </c>
      <c r="G9" s="360"/>
      <c r="H9" s="361"/>
      <c r="I9" s="362"/>
      <c r="J9" s="363"/>
      <c r="K9" s="343"/>
      <c r="L9" s="364"/>
      <c r="M9" s="353" t="s">
        <v>2636</v>
      </c>
      <c r="N9" s="354" t="n">
        <f aca="false">IF(ISERROR(STDEVP(I23:I82)),"     -",STDEVP(I23:I82))</f>
        <v>6.14055137517273</v>
      </c>
      <c r="O9" s="354" t="n">
        <f aca="false">IF(ISERROR(STDEVP(J23:J82)),"      -",STDEVP(J23:J82))</f>
        <v>0.740591962077384</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16</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6</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5</v>
      </c>
      <c r="L13" s="386"/>
      <c r="M13" s="397" t="s">
        <v>2648</v>
      </c>
      <c r="N13" s="398" t="n">
        <f aca="false">COUNTIF(F23:F82,"&gt;0")</f>
        <v>22</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2</v>
      </c>
      <c r="L14" s="386"/>
      <c r="M14" s="401" t="s">
        <v>2651</v>
      </c>
      <c r="N14" s="402" t="n">
        <f aca="false">COUNTIF($I$23:$I$82,"&gt;-1")</f>
        <v>19</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6</v>
      </c>
      <c r="L15" s="386"/>
      <c r="M15" s="407" t="s">
        <v>2654</v>
      </c>
      <c r="N15" s="408" t="n">
        <f aca="false">COUNTIF(J23:J82,"=1")</f>
        <v>6</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3</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1.36</v>
      </c>
      <c r="C20" s="436" t="n">
        <f aca="false">SUM(C23:C82)</f>
        <v>0.885</v>
      </c>
      <c r="D20" s="437"/>
      <c r="E20" s="438" t="s">
        <v>2660</v>
      </c>
      <c r="F20" s="439" t="n">
        <f aca="false">($B20*$B$7+$C20*$C$7)/100</f>
        <v>1.2175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0.952</v>
      </c>
      <c r="C21" s="449" t="n">
        <f aca="false">C20*C7/100</f>
        <v>0.2655</v>
      </c>
      <c r="D21" s="381" t="str">
        <f aca="false">IF(F21=0,"",IF((ABS(F21-F19))&gt;(0.2*F21),CONCATENATE(" rec. par taxa (",F21," %) supérieur à 20 % !"),""))</f>
        <v> rec. par taxa (1,2175 %) supérieur à 20 % !</v>
      </c>
      <c r="E21" s="450" t="str">
        <f aca="false">IF(F21=0,"",IF((ABS(F21-F19))&gt;(0.2*F21),CONCATENATE("ATTENTION : écart entre rec. par grp (",F19," %) ","et",""),""))</f>
        <v>ATTENTION : écart entre rec. par grp (0 %) et</v>
      </c>
      <c r="F21" s="451" t="n">
        <f aca="false">B21+C21</f>
        <v>1.2175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69</v>
      </c>
      <c r="B23" s="475" t="n">
        <v>0.005</v>
      </c>
      <c r="C23" s="476" t="n">
        <v>0.005</v>
      </c>
      <c r="D23" s="477" t="str">
        <f aca="false">IF(ISERROR(VLOOKUP($A23,'liste reference'!$A$7:$D$904,2,0)),IF(ISERROR(VLOOKUP($A23,'liste reference'!$B$7:$D$904,1,0)),"",VLOOKUP($A23,'liste reference'!$B$7:$D$904,1,0)),VLOOKUP($A23,'liste reference'!$A$7:$D$904,2,0))</f>
        <v>Batrachospermum sp.</v>
      </c>
      <c r="E23" s="477" t="e">
        <f aca="false">IF(D23="",0,VLOOKUP(D23,D$22:D22,1,0))</f>
        <v>#N/A</v>
      </c>
      <c r="F23" s="478" t="n">
        <f aca="false">($B23*$B$7+$C23*$C$7)/100</f>
        <v>0.005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0.005</v>
      </c>
      <c r="R23" s="487" t="n">
        <f aca="false">IF(OR(ISTEXT(H23),Q23=0),"",IF(Q23&lt;0.1,1,IF(Q23&lt;1,2,IF(Q23&lt;10,3,IF(Q23&lt;50,4,IF(Q23&gt;=50,5,""))))))</f>
        <v>1</v>
      </c>
      <c r="S23" s="487" t="n">
        <f aca="false">IF(ISERROR(R23*I23),0,R23*I23)</f>
        <v>16</v>
      </c>
      <c r="T23" s="487" t="n">
        <f aca="false">IF(ISERROR(R23*I23*J23),0,R23*I23*J23)</f>
        <v>32</v>
      </c>
      <c r="U23" s="487" t="n">
        <f aca="false">IF(ISERROR(R23*J23),0,R23*J23)</f>
        <v>2</v>
      </c>
      <c r="V23" s="488" t="str">
        <f aca="false">IF(AND(A23="",F23=0),"",IF(F23=0,"Il manque le(s) % de rec. !",""))</f>
        <v/>
      </c>
      <c r="W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2.75" hidden="false" customHeight="false" outlineLevel="0" collapsed="false">
      <c r="A24" s="493" t="s">
        <v>154</v>
      </c>
      <c r="B24" s="494" t="n">
        <v>0.005</v>
      </c>
      <c r="C24" s="495"/>
      <c r="D24" s="477" t="str">
        <f aca="false">IF(ISERROR(VLOOKUP($A24,'liste reference'!$A$7:$D$904,2,0)),IF(ISERROR(VLOOKUP($A24,'liste reference'!$B$7:$D$904,1,0)),"",VLOOKUP($A24,'liste reference'!$B$7:$D$904,1,0)),VLOOKUP($A24,'liste reference'!$A$7:$D$904,2,0))</f>
        <v>Lemanea sp.</v>
      </c>
      <c r="E24" s="496" t="e">
        <f aca="false">IF(D24="",0,VLOOKUP(D24,D$22:D23,1,0))</f>
        <v>#N/A</v>
      </c>
      <c r="F24" s="497" t="n">
        <f aca="false">($B24*$B$7+$C24*$C$7)/100</f>
        <v>0.0035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15</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Lemanea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1159</v>
      </c>
      <c r="Q24" s="486" t="n">
        <f aca="false">IF(ISTEXT(H24),"",(B24*$B$7/100)+(C24*$C$7/100))</f>
        <v>0.0035</v>
      </c>
      <c r="R24" s="487" t="n">
        <f aca="false">IF(OR(ISTEXT(H24),Q24=0),"",IF(Q24&lt;0.1,1,IF(Q24&lt;1,2,IF(Q24&lt;10,3,IF(Q24&lt;50,4,IF(Q24&gt;=50,5,""))))))</f>
        <v>1</v>
      </c>
      <c r="S24" s="487" t="n">
        <f aca="false">IF(ISERROR(R24*I24),0,R24*I24)</f>
        <v>15</v>
      </c>
      <c r="T24" s="487" t="n">
        <f aca="false">IF(ISERROR(R24*I24*J24),0,R24*I24*J24)</f>
        <v>30</v>
      </c>
      <c r="U24" s="499" t="n">
        <f aca="false">IF(ISERROR(R24*J24),0,R24*J24)</f>
        <v>2</v>
      </c>
      <c r="V24" s="488" t="str">
        <f aca="false">IF(AND(A24="",F24=0),"",IF(F24=0,"Il manque le(s) % de rec. !",""))</f>
        <v/>
      </c>
      <c r="W24" s="489"/>
      <c r="Y24" s="490" t="str">
        <f aca="false">IF(A24="new.cod","NEWCOD",IF(AND((Z24=""),ISTEXT(A24)),A24,IF(Z24="","",INDEX('liste reference'!$A$8:$A$904,Z24))))</f>
        <v>LEASPX</v>
      </c>
      <c r="Z24" s="280" t="n">
        <f aca="false">IF(ISERROR(MATCH(A24,'liste reference'!$A$8:$A$904,0)),IF(ISERROR(MATCH(A24,'liste reference'!$B$8:$B$904,0)),"",(MATCH(A24,'liste reference'!$B$8:$B$904,0))),(MATCH(A24,'liste reference'!$A$8:$A$904,0)))</f>
        <v>34</v>
      </c>
      <c r="AA24" s="491"/>
      <c r="AB24" s="492"/>
      <c r="AC24" s="492"/>
      <c r="BB24" s="280" t="n">
        <f aca="false">IF(A24="","",1)</f>
        <v>1</v>
      </c>
    </row>
    <row r="25" customFormat="false" ht="12.75" hidden="false" customHeight="false" outlineLevel="0" collapsed="false">
      <c r="A25" s="493" t="s">
        <v>166</v>
      </c>
      <c r="B25" s="494" t="n">
        <v>0.75</v>
      </c>
      <c r="C25" s="495" t="n">
        <v>0.5</v>
      </c>
      <c r="D25" s="477" t="str">
        <f aca="false">IF(ISERROR(VLOOKUP($A25,'liste reference'!$A$7:$D$904,2,0)),IF(ISERROR(VLOOKUP($A25,'liste reference'!$B$7:$D$904,1,0)),"",VLOOKUP($A25,'liste reference'!$B$7:$D$904,1,0)),VLOOKUP($A25,'liste reference'!$A$7:$D$904,2,0))</f>
        <v>Microcoleus sp.</v>
      </c>
      <c r="E25" s="496" t="e">
        <f aca="false">IF(D25="",0,VLOOKUP(D25,D$22:D24,1,0))</f>
        <v>#N/A</v>
      </c>
      <c r="F25" s="497" t="n">
        <f aca="false">($B25*$B$7+$C25*$C$7)/100</f>
        <v>0.675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0</v>
      </c>
      <c r="J25" s="481" t="n">
        <f aca="false">IF(ISNUMBER(H25),IF(ISERROR(VLOOKUP($A25,'liste reference'!$A$7:$P$904,4,0)),IF(ISERROR(VLOOKUP($A25,'liste reference'!$B$7:$P$904,3,0)),"",VLOOKUP($A25,'liste reference'!$B$7:$P$904,3,0)),VLOOKUP($A25,'liste reference'!$A$7:$P$904,4,0)),"")</f>
        <v>0</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Microcoleus sp.</v>
      </c>
      <c r="L25" s="498"/>
      <c r="M25" s="498"/>
      <c r="N25" s="498"/>
      <c r="O25" s="484" t="s">
        <v>2685</v>
      </c>
      <c r="P25" s="485" t="n">
        <f aca="false">IF($A25="NEWCOD",IF($AC25="","No",$AC25),IF(ISTEXT($E25),"DEJA SAISI !",IF($A25="","",IF(ISERROR(VLOOKUP($A25,'liste reference'!A:S,19,FALSE())),IF(ISERROR(VLOOKUP($A25,'liste reference'!B:S,19,FALSE())),"",VLOOKUP($A25,'liste reference'!B:S,19,FALSE())),VLOOKUP($A25,'liste reference'!A:S,19,FALSE())))))</f>
        <v>6405</v>
      </c>
      <c r="Q25" s="486" t="n">
        <f aca="false">IF(ISTEXT(H25),"",(B25*$B$7/100)+(C25*$C$7/100))</f>
        <v>0.675</v>
      </c>
      <c r="R25" s="487" t="n">
        <f aca="false">IF(OR(ISTEXT(H25),Q25=0),"",IF(Q25&lt;0.1,1,IF(Q25&lt;1,2,IF(Q25&lt;10,3,IF(Q25&lt;50,4,IF(Q25&gt;=50,5,""))))))</f>
        <v>2</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MIRSPX</v>
      </c>
      <c r="Z25" s="280" t="n">
        <f aca="false">IF(ISERROR(MATCH(A25,'liste reference'!$A$8:$A$904,0)),IF(ISERROR(MATCH(A25,'liste reference'!$B$8:$B$904,0)),"",(MATCH(A25,'liste reference'!$B$8:$B$904,0))),(MATCH(A25,'liste reference'!$A$8:$A$904,0)))</f>
        <v>38</v>
      </c>
      <c r="AA25" s="491" t="s">
        <v>2685</v>
      </c>
      <c r="AB25" s="492"/>
      <c r="AC25" s="492"/>
      <c r="BB25" s="280" t="n">
        <f aca="false">IF(A25="","",1)</f>
        <v>1</v>
      </c>
    </row>
    <row r="26" customFormat="false" ht="12.75" hidden="false" customHeight="false" outlineLevel="0" collapsed="false">
      <c r="A26" s="493" t="s">
        <v>220</v>
      </c>
      <c r="B26" s="494" t="n">
        <v>0.03</v>
      </c>
      <c r="C26" s="495" t="n">
        <v>0.005</v>
      </c>
      <c r="D26" s="477" t="str">
        <f aca="false">IF(ISERROR(VLOOKUP($A26,'liste reference'!$A$7:$D$904,2,0)),IF(ISERROR(VLOOKUP($A26,'liste reference'!$B$7:$D$904,1,0)),"",VLOOKUP($A26,'liste reference'!$B$7:$D$904,1,0)),VLOOKUP($A26,'liste reference'!$A$7:$D$904,2,0))</f>
        <v>Nostoc sp.</v>
      </c>
      <c r="E26" s="496" t="e">
        <f aca="false">IF(D26="",0,VLOOKUP(D26,D$22:D25,1,0))</f>
        <v>#N/A</v>
      </c>
      <c r="F26" s="497" t="n">
        <f aca="false">($B26*$B$7+$C26*$C$7)/100</f>
        <v>0.0225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9</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1105</v>
      </c>
      <c r="Q26" s="486" t="n">
        <f aca="false">IF(ISTEXT(H26),"",(B26*$B$7/100)+(C26*$C$7/100))</f>
        <v>0.0225</v>
      </c>
      <c r="R26" s="487" t="n">
        <f aca="false">IF(OR(ISTEXT(H26),Q26=0),"",IF(Q26&lt;0.1,1,IF(Q26&lt;1,2,IF(Q26&lt;10,3,IF(Q26&lt;50,4,IF(Q26&gt;=50,5,""))))))</f>
        <v>1</v>
      </c>
      <c r="S26" s="487" t="n">
        <f aca="false">IF(ISERROR(R26*I26),0,R26*I26)</f>
        <v>9</v>
      </c>
      <c r="T26" s="487" t="n">
        <f aca="false">IF(ISERROR(R26*I26*J26),0,R26*I26*J26)</f>
        <v>9</v>
      </c>
      <c r="U26" s="499" t="n">
        <f aca="false">IF(ISERROR(R26*J26),0,R26*J26)</f>
        <v>1</v>
      </c>
      <c r="V26" s="488" t="str">
        <f aca="false">IF(AND(A26="",F26=0),"",IF(F26=0,"Il manque le(s) % de rec. !",""))</f>
        <v/>
      </c>
      <c r="W26" s="489"/>
      <c r="Y26" s="490" t="str">
        <f aca="false">IF(A26="new.cod","NEWCOD",IF(AND((Z26=""),ISTEXT(A26)),A26,IF(Z26="","",INDEX('liste reference'!$A$8:$A$904,Z26))))</f>
        <v>NOSSPX</v>
      </c>
      <c r="Z26" s="280" t="n">
        <f aca="false">IF(ISERROR(MATCH(A26,'liste reference'!$A$8:$A$904,0)),IF(ISERROR(MATCH(A26,'liste reference'!$B$8:$B$904,0)),"",(MATCH(A26,'liste reference'!$B$8:$B$904,0))),(MATCH(A26,'liste reference'!$A$8:$A$904,0)))</f>
        <v>54</v>
      </c>
      <c r="AA26" s="491"/>
      <c r="AB26" s="492"/>
      <c r="AC26" s="492"/>
      <c r="BB26" s="280" t="n">
        <f aca="false">IF(A26="","",1)</f>
        <v>1</v>
      </c>
    </row>
    <row r="27" customFormat="false" ht="12.75" hidden="false" customHeight="false" outlineLevel="0" collapsed="false">
      <c r="A27" s="493" t="s">
        <v>228</v>
      </c>
      <c r="B27" s="494" t="n">
        <v>0.005</v>
      </c>
      <c r="C27" s="495" t="n">
        <v>0.005</v>
      </c>
      <c r="D27" s="477" t="str">
        <f aca="false">IF(ISERROR(VLOOKUP($A27,'liste reference'!$A$7:$D$904,2,0)),IF(ISERROR(VLOOKUP($A27,'liste reference'!$B$7:$D$904,1,0)),"",VLOOKUP($A27,'liste reference'!$B$7:$D$904,1,0)),VLOOKUP($A27,'liste reference'!$A$7:$D$904,2,0))</f>
        <v>Phormidium sp.</v>
      </c>
      <c r="E27" s="496" t="e">
        <f aca="false">IF(D27="",0,VLOOKUP(D27,D$22:D26,1,0))</f>
        <v>#N/A</v>
      </c>
      <c r="F27" s="497" t="n">
        <f aca="false">($B27*$B$7+$C27*$C$7)/100</f>
        <v>0.005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498"/>
      <c r="M27" s="498"/>
      <c r="N27" s="498"/>
      <c r="O27" s="484" t="s">
        <v>2685</v>
      </c>
      <c r="P27" s="485" t="n">
        <f aca="false">IF($A27="NEWCOD",IF($AC27="","No",$AC27),IF(ISTEXT($E27),"DEJA SAISI !",IF($A27="","",IF(ISERROR(VLOOKUP($A27,'liste reference'!A:S,19,FALSE())),IF(ISERROR(VLOOKUP($A27,'liste reference'!B:S,19,FALSE())),"",VLOOKUP($A27,'liste reference'!B:S,19,FALSE())),VLOOKUP($A27,'liste reference'!A:S,19,FALSE())))))</f>
        <v>6414</v>
      </c>
      <c r="Q27" s="486" t="n">
        <f aca="false">IF(ISTEXT(H27),"",(B27*$B$7/100)+(C27*$C$7/100))</f>
        <v>0.005</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PHOSPX</v>
      </c>
      <c r="Z27" s="280" t="n">
        <f aca="false">IF(ISERROR(MATCH(A27,'liste reference'!$A$8:$A$904,0)),IF(ISERROR(MATCH(A27,'liste reference'!$B$8:$B$904,0)),"",(MATCH(A27,'liste reference'!$B$8:$B$904,0))),(MATCH(A27,'liste reference'!$A$8:$A$904,0)))</f>
        <v>57</v>
      </c>
      <c r="AA27" s="491" t="s">
        <v>2685</v>
      </c>
      <c r="AB27" s="492"/>
      <c r="AC27" s="492"/>
      <c r="BB27" s="280" t="n">
        <f aca="false">IF(A27="","",1)</f>
        <v>1</v>
      </c>
    </row>
    <row r="28" customFormat="false" ht="12.75" hidden="false" customHeight="false" outlineLevel="0" collapsed="false">
      <c r="A28" s="493" t="s">
        <v>258</v>
      </c>
      <c r="B28" s="494" t="n">
        <v>0.1</v>
      </c>
      <c r="C28" s="495" t="n">
        <v>0.05</v>
      </c>
      <c r="D28" s="477" t="str">
        <f aca="false">IF(ISERROR(VLOOKUP($A28,'liste reference'!$A$7:$D$904,2,0)),IF(ISERROR(VLOOKUP($A28,'liste reference'!$B$7:$D$904,1,0)),"",VLOOKUP($A28,'liste reference'!$B$7:$D$904,1,0)),VLOOKUP($A28,'liste reference'!$A$7:$D$904,2,0))</f>
        <v>Spirogyra sp.</v>
      </c>
      <c r="E28" s="496" t="e">
        <f aca="false">IF(D28="",0,VLOOKUP(D28,D$22:D27,1,0))</f>
        <v>#N/A</v>
      </c>
      <c r="F28" s="497" t="n">
        <f aca="false">($B28*$B$7+$C28*$C$7)/100</f>
        <v>0.085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1147</v>
      </c>
      <c r="Q28" s="486" t="n">
        <f aca="false">IF(ISTEXT(H28),"",(B28*$B$7/100)+(C28*$C$7/100))</f>
        <v>0.085</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489"/>
      <c r="Y28" s="490" t="str">
        <f aca="false">IF(A28="new.cod","NEWCOD",IF(AND((Z28=""),ISTEXT(A28)),A28,IF(Z28="","",INDEX('liste reference'!$A$8:$A$904,Z28))))</f>
        <v>SPISPX</v>
      </c>
      <c r="Z28" s="280" t="n">
        <f aca="false">IF(ISERROR(MATCH(A28,'liste reference'!$A$8:$A$904,0)),IF(ISERROR(MATCH(A28,'liste reference'!$B$8:$B$904,0)),"",(MATCH(A28,'liste reference'!$B$8:$B$904,0))),(MATCH(A28,'liste reference'!$A$8:$A$904,0)))</f>
        <v>69</v>
      </c>
      <c r="AA28" s="491"/>
      <c r="AB28" s="492"/>
      <c r="AC28" s="492"/>
      <c r="BB28" s="280" t="n">
        <f aca="false">IF(A28="","",1)</f>
        <v>1</v>
      </c>
    </row>
    <row r="29" customFormat="false" ht="12.75" hidden="false" customHeight="false" outlineLevel="0" collapsed="false">
      <c r="A29" s="493" t="s">
        <v>394</v>
      </c>
      <c r="B29" s="494" t="n">
        <v>0.005</v>
      </c>
      <c r="C29" s="495"/>
      <c r="D29" s="477" t="str">
        <f aca="false">IF(ISERROR(VLOOKUP($A29,'liste reference'!$A$7:$D$904,2,0)),IF(ISERROR(VLOOKUP($A29,'liste reference'!$B$7:$D$904,1,0)),"",VLOOKUP($A29,'liste reference'!$B$7:$D$904,1,0)),VLOOKUP($A29,'liste reference'!$A$7:$D$904,2,0))</f>
        <v>Jungermannia exsertifolia subsp. cordifolia</v>
      </c>
      <c r="E29" s="496" t="e">
        <f aca="false">IF(D29="",0,VLOOKUP(D29,D$22:D28,1,0))</f>
        <v>#N/A</v>
      </c>
      <c r="F29" s="497" t="n">
        <f aca="false">($B29*$B$7+$C29*$C$7)/100</f>
        <v>0.0035</v>
      </c>
      <c r="G29" s="479" t="str">
        <f aca="false">IF(A29="","",IF(ISERROR(VLOOKUP($A29,'liste reference'!$A$7:$P$904,13,0)),IF(ISERROR(VLOOKUP($A29,'liste reference'!$B$7:$P$904,12,0)),"    -",VLOOKUP($A29,'liste reference'!$B$7:$P$904,12,0)),VLOOKUP($A29,'liste reference'!$A$7:$P$904,13,0)))</f>
        <v>BRh</v>
      </c>
      <c r="H29" s="480" t="n">
        <f aca="false">IF(A29="","x",IF(ISERROR(VLOOKUP($A29,'liste reference'!$A$8:$P$904,14,0)),IF(ISERROR(VLOOKUP($A29,'liste reference'!$B$8:$P$904,13,0)),"x",VLOOKUP($A29,'liste reference'!$B$8:$P$904,13,0)),VLOOKUP($A29,'liste reference'!$A$8:$P$904,14,0)))</f>
        <v>4</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Jungermannia exsertifolia subsp. cordifolia</v>
      </c>
      <c r="L29" s="500"/>
      <c r="M29" s="500"/>
      <c r="N29" s="500"/>
      <c r="O29" s="484"/>
      <c r="P29" s="501" t="n">
        <f aca="false">IF($A29="NEWCOD",IF($AC29="","No",$AC29),IF(ISTEXT($E29),"DEJA SAISI !",IF($A29="","",IF(ISERROR(VLOOKUP($A29,'liste reference'!A:S,19,FALSE())),IF(ISERROR(VLOOKUP($A29,'liste reference'!B:S,19,FALSE())),"",VLOOKUP($A29,'liste reference'!B:S,19,FALSE())),VLOOKUP($A29,'liste reference'!A:S,19,FALSE())))))</f>
        <v>19821</v>
      </c>
      <c r="Q29" s="486" t="n">
        <f aca="false">IF(ISTEXT(H29),"",(B29*$B$7/100)+(C29*$C$7/100))</f>
        <v>0.0035</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JUGEXC</v>
      </c>
      <c r="Z29" s="280" t="n">
        <f aca="false">IF(ISERROR(MATCH(A29,'liste reference'!$A$8:$A$904,0)),IF(ISERROR(MATCH(A29,'liste reference'!$B$8:$B$904,0)),"",(MATCH(A29,'liste reference'!$B$8:$B$904,0))),(MATCH(A29,'liste reference'!$A$8:$A$904,0)))</f>
        <v>102</v>
      </c>
      <c r="AA29" s="491"/>
      <c r="AB29" s="492"/>
      <c r="AC29" s="492"/>
      <c r="BB29" s="280" t="n">
        <f aca="false">IF(A29="","",1)</f>
        <v>1</v>
      </c>
    </row>
    <row r="30" customFormat="false" ht="12.75" hidden="false" customHeight="false" outlineLevel="0" collapsed="false">
      <c r="A30" s="493" t="s">
        <v>691</v>
      </c>
      <c r="B30" s="494" t="n">
        <v>0.005</v>
      </c>
      <c r="C30" s="495" t="n">
        <v>0.005</v>
      </c>
      <c r="D30" s="477" t="str">
        <f aca="false">IF(ISERROR(VLOOKUP($A30,'liste reference'!$A$7:$D$904,2,0)),IF(ISERROR(VLOOKUP($A30,'liste reference'!$B$7:$D$904,1,0)),"",VLOOKUP($A30,'liste reference'!$B$7:$D$904,1,0)),VLOOKUP($A30,'liste reference'!$A$7:$D$904,2,0))</f>
        <v>Bryum pseudotriquetrum</v>
      </c>
      <c r="E30" s="496" t="e">
        <f aca="false">IF(D30="",0,VLOOKUP(D30,D$22:D29,1,0))</f>
        <v>#N/A</v>
      </c>
      <c r="F30" s="497" t="n">
        <f aca="false">($B30*$B$7+$C30*$C$7)/100</f>
        <v>0.005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Bryum pseudotriquetrum</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1274</v>
      </c>
      <c r="Q30" s="486" t="n">
        <f aca="false">IF(ISTEXT(H30),"",(B30*$B$7/100)+(C30*$C$7/100))</f>
        <v>0.005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502"/>
      <c r="Y30" s="490" t="str">
        <f aca="false">IF(A30="new.cod","NEWCOD",IF(AND((Z30=""),ISTEXT(A30)),A30,IF(Z30="","",INDEX('liste reference'!$A$8:$A$904,Z30))))</f>
        <v>BRYPSE</v>
      </c>
      <c r="Z30" s="280" t="n">
        <f aca="false">IF(ISERROR(MATCH(A30,'liste reference'!$A$8:$A$904,0)),IF(ISERROR(MATCH(A30,'liste reference'!$B$8:$B$904,0)),"",(MATCH(A30,'liste reference'!$B$8:$B$904,0))),(MATCH(A30,'liste reference'!$A$8:$A$904,0)))</f>
        <v>160</v>
      </c>
      <c r="AA30" s="491"/>
      <c r="AB30" s="492"/>
      <c r="AC30" s="492"/>
      <c r="BB30" s="280" t="n">
        <f aca="false">IF(A30="","",1)</f>
        <v>1</v>
      </c>
    </row>
    <row r="31" customFormat="false" ht="12.75" hidden="false" customHeight="false" outlineLevel="0" collapsed="false">
      <c r="A31" s="493" t="s">
        <v>730</v>
      </c>
      <c r="B31" s="494"/>
      <c r="C31" s="495" t="n">
        <v>0.005</v>
      </c>
      <c r="D31" s="477" t="str">
        <f aca="false">IF(ISERROR(VLOOKUP($A31,'liste reference'!$A$7:$D$904,2,0)),IF(ISERROR(VLOOKUP($A31,'liste reference'!$B$7:$D$904,1,0)),"",VLOOKUP($A31,'liste reference'!$B$7:$D$904,1,0)),VLOOKUP($A31,'liste reference'!$A$7:$D$904,2,0))</f>
        <v>Calliergonella cuspidata</v>
      </c>
      <c r="E31" s="496" t="e">
        <f aca="false">IF(D31="",0,VLOOKUP(D31,D$22:D30,1,0))</f>
        <v>#N/A</v>
      </c>
      <c r="F31" s="497" t="n">
        <f aca="false">($B31*$B$7+$C31*$C$7)/100</f>
        <v>0.0015</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Calliergonella cuspidata</v>
      </c>
      <c r="L31" s="500"/>
      <c r="M31" s="500"/>
      <c r="N31" s="500"/>
      <c r="O31" s="484"/>
      <c r="P31" s="501" t="n">
        <f aca="false">IF($A31="NEWCOD",IF($AC31="","No",$AC31),IF(ISTEXT($E31),"DEJA SAISI !",IF($A31="","",IF(ISERROR(VLOOKUP($A31,'liste reference'!A:S,19,FALSE())),IF(ISERROR(VLOOKUP($A31,'liste reference'!B:S,19,FALSE())),"",VLOOKUP($A31,'liste reference'!B:S,19,FALSE())),VLOOKUP($A31,'liste reference'!A:S,19,FALSE())))))</f>
        <v>1228</v>
      </c>
      <c r="Q31" s="486" t="n">
        <f aca="false">IF(ISTEXT(H31),"",(B31*$B$7/100)+(C31*$C$7/100))</f>
        <v>0.0015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CAECUS</v>
      </c>
      <c r="Z31" s="280" t="n">
        <f aca="false">IF(ISERROR(MATCH(A31,'liste reference'!$A$8:$A$904,0)),IF(ISERROR(MATCH(A31,'liste reference'!$B$8:$B$904,0)),"",(MATCH(A31,'liste reference'!$B$8:$B$904,0))),(MATCH(A31,'liste reference'!$A$8:$A$904,0)))</f>
        <v>169</v>
      </c>
      <c r="AA31" s="491"/>
      <c r="AB31" s="492"/>
      <c r="AC31" s="492"/>
      <c r="BB31" s="280" t="n">
        <f aca="false">IF(A31="","",1)</f>
        <v>1</v>
      </c>
    </row>
    <row r="32" customFormat="false" ht="12.75" hidden="false" customHeight="false" outlineLevel="0" collapsed="false">
      <c r="A32" s="493" t="s">
        <v>896</v>
      </c>
      <c r="B32" s="494"/>
      <c r="C32" s="495" t="n">
        <v>0.005</v>
      </c>
      <c r="D32" s="477" t="str">
        <f aca="false">IF(ISERROR(VLOOKUP($A32,'liste reference'!$A$7:$D$904,2,0)),IF(ISERROR(VLOOKUP($A32,'liste reference'!$B$7:$D$904,1,0)),"",VLOOKUP($A32,'liste reference'!$B$7:$D$904,1,0)),VLOOKUP($A32,'liste reference'!$A$7:$D$904,2,0))</f>
        <v>Fontinalis antipyretica</v>
      </c>
      <c r="E32" s="496" t="e">
        <f aca="false">IF(D32="",0,VLOOKUP(D32,D$22:D31,1,0))</f>
        <v>#N/A</v>
      </c>
      <c r="F32" s="497" t="n">
        <f aca="false">($B32*$B$7+$C32*$C$7)/100</f>
        <v>0.0015</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Fontinalis antipyretica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1310</v>
      </c>
      <c r="Q32" s="486" t="n">
        <f aca="false">IF(ISTEXT(H32),"",(B32*$B$7/100)+(C32*$C$7/100))</f>
        <v>0.0015</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IF(A32="new.cod","NEWCOD",IF(AND((Z32=""),ISTEXT(A32)),A32,IF(Z32="","",INDEX('liste reference'!$A$8:$A$904,Z32))))</f>
        <v>FONANT</v>
      </c>
      <c r="Z32" s="280" t="n">
        <f aca="false">IF(ISERROR(MATCH(A32,'liste reference'!$A$8:$A$904,0)),IF(ISERROR(MATCH(A32,'liste reference'!$B$8:$B$904,0)),"",(MATCH(A32,'liste reference'!$B$8:$B$904,0))),(MATCH(A32,'liste reference'!$A$8:$A$904,0)))</f>
        <v>210</v>
      </c>
      <c r="AA32" s="491"/>
      <c r="AB32" s="492"/>
      <c r="AC32" s="492"/>
      <c r="BB32" s="280" t="n">
        <f aca="false">IF(A32="","",1)</f>
        <v>1</v>
      </c>
    </row>
    <row r="33" customFormat="false" ht="12.75" hidden="false" customHeight="false" outlineLevel="0" collapsed="false">
      <c r="A33" s="493" t="s">
        <v>1054</v>
      </c>
      <c r="B33" s="494" t="n">
        <v>0.01</v>
      </c>
      <c r="C33" s="495"/>
      <c r="D33" s="477" t="str">
        <f aca="false">IF(ISERROR(VLOOKUP($A33,'liste reference'!$A$7:$D$904,2,0)),IF(ISERROR(VLOOKUP($A33,'liste reference'!$B$7:$D$904,1,0)),"",VLOOKUP($A33,'liste reference'!$B$7:$D$904,1,0)),VLOOKUP($A33,'liste reference'!$A$7:$D$904,2,0))</f>
        <v>Rhynchostegium riparioides</v>
      </c>
      <c r="E33" s="496" t="e">
        <f aca="false">IF(D33="",0,VLOOKUP(D33,D$22:D32,1,0))</f>
        <v>#N/A</v>
      </c>
      <c r="F33" s="497" t="n">
        <f aca="false">($B33*$B$7+$C33*$C$7)/100</f>
        <v>0.007</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12</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Rhynchostegium riparioides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1268</v>
      </c>
      <c r="Q33" s="486" t="n">
        <f aca="false">IF(ISTEXT(H33),"",(B33*$B$7/100)+(C33*$C$7/100))</f>
        <v>0.007</v>
      </c>
      <c r="R33" s="487" t="n">
        <f aca="false">IF(OR(ISTEXT(H33),Q33=0),"",IF(Q33&lt;0.1,1,IF(Q33&lt;1,2,IF(Q33&lt;10,3,IF(Q33&lt;50,4,IF(Q33&gt;=50,5,""))))))</f>
        <v>1</v>
      </c>
      <c r="S33" s="487" t="n">
        <f aca="false">IF(ISERROR(R33*I33),0,R33*I33)</f>
        <v>12</v>
      </c>
      <c r="T33" s="487" t="n">
        <f aca="false">IF(ISERROR(R33*I33*J33),0,R33*I33*J33)</f>
        <v>12</v>
      </c>
      <c r="U33" s="499" t="n">
        <f aca="false">IF(ISERROR(R33*J33),0,R33*J33)</f>
        <v>1</v>
      </c>
      <c r="V33" s="488" t="str">
        <f aca="false">IF(AND(A33="",F33=0),"",IF(F33=0,"Il manque le(s) % de rec. !",""))</f>
        <v/>
      </c>
      <c r="W33" s="489"/>
      <c r="Y33" s="490" t="str">
        <f aca="false">IF(A33="new.cod","NEWCOD",IF(AND((Z33=""),ISTEXT(A33)),A33,IF(Z33="","",INDEX('liste reference'!$A$8:$A$904,Z33))))</f>
        <v>RHYRIP</v>
      </c>
      <c r="Z33" s="280" t="n">
        <f aca="false">IF(ISERROR(MATCH(A33,'liste reference'!$A$8:$A$904,0)),IF(ISERROR(MATCH(A33,'liste reference'!$B$8:$B$904,0)),"",(MATCH(A33,'liste reference'!$B$8:$B$904,0))),(MATCH(A33,'liste reference'!$A$8:$A$904,0)))</f>
        <v>252</v>
      </c>
      <c r="AA33" s="491"/>
      <c r="AB33" s="492"/>
      <c r="AC33" s="492"/>
      <c r="BB33" s="280" t="n">
        <f aca="false">IF(A33="","",1)</f>
        <v>1</v>
      </c>
    </row>
    <row r="34" customFormat="false" ht="12.75" hidden="false" customHeight="false" outlineLevel="0" collapsed="false">
      <c r="A34" s="493" t="s">
        <v>1153</v>
      </c>
      <c r="B34" s="494" t="n">
        <v>0.005</v>
      </c>
      <c r="C34" s="495" t="n">
        <v>0.005</v>
      </c>
      <c r="D34" s="477" t="str">
        <f aca="false">IF(ISERROR(VLOOKUP($A34,'liste reference'!$A$7:$D$904,2,0)),IF(ISERROR(VLOOKUP($A34,'liste reference'!$B$7:$D$904,1,0)),"",VLOOKUP($A34,'liste reference'!$B$7:$D$904,1,0)),VLOOKUP($A34,'liste reference'!$A$7:$D$904,2,0))</f>
        <v>Equisetum arvense</v>
      </c>
      <c r="E34" s="496" t="e">
        <f aca="false">IF(D34="",0,VLOOKUP(D34,D$22:D33,1,0))</f>
        <v>#N/A</v>
      </c>
      <c r="F34" s="503" t="n">
        <f aca="false">($B34*$B$7+$C34*$C$7)/100</f>
        <v>0.005</v>
      </c>
      <c r="G34" s="479" t="str">
        <f aca="false">IF(A34="","",IF(ISERROR(VLOOKUP($A34,'liste reference'!$A$7:$P$904,13,0)),IF(ISERROR(VLOOKUP($A34,'liste reference'!$B$7:$P$904,12,0)),"    -",VLOOKUP($A34,'liste reference'!$B$7:$P$904,12,0)),VLOOKUP($A34,'liste reference'!$A$7:$P$904,13,0)))</f>
        <v>PTE</v>
      </c>
      <c r="H34" s="480" t="n">
        <f aca="false">IF(A34="","x",IF(ISERROR(VLOOKUP($A34,'liste reference'!$A$8:$P$904,14,0)),IF(ISERROR(VLOOKUP($A34,'liste reference'!$B$8:$P$904,13,0)),"x",VLOOKUP($A34,'liste reference'!$B$8:$P$904,13,0)),VLOOKUP($A34,'liste reference'!$A$8:$P$904,14,0)))</f>
        <v>6</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Equisetum arvense</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1384</v>
      </c>
      <c r="Q34" s="486" t="n">
        <f aca="false">IF(ISTEXT(H34),"",(B34*$B$7/100)+(C34*$C$7/100))</f>
        <v>0.005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X34" s="489"/>
      <c r="Y34" s="490" t="str">
        <f aca="false">IF(A34="new.cod","NEWCOD",IF(AND((Z34=""),ISTEXT(A34)),A34,IF(Z34="","",INDEX('liste reference'!$A$8:$A$904,Z34))))</f>
        <v>EQUARV</v>
      </c>
      <c r="Z34" s="280" t="n">
        <f aca="false">IF(ISERROR(MATCH(A34,'liste reference'!$A$8:$A$904,0)),IF(ISERROR(MATCH(A34,'liste reference'!$B$8:$B$904,0)),"",(MATCH(A34,'liste reference'!$B$8:$B$904,0))),(MATCH(A34,'liste reference'!$A$8:$A$904,0)))</f>
        <v>278</v>
      </c>
      <c r="AA34" s="491"/>
      <c r="AB34" s="492"/>
      <c r="AC34" s="492"/>
      <c r="BB34" s="280" t="n">
        <f aca="false">IF(A34="","",1)</f>
        <v>1</v>
      </c>
    </row>
    <row r="35" customFormat="false" ht="12.75" hidden="false" customHeight="false" outlineLevel="0" collapsed="false">
      <c r="A35" s="493" t="s">
        <v>1197</v>
      </c>
      <c r="B35" s="494" t="n">
        <v>0.25</v>
      </c>
      <c r="C35" s="495" t="n">
        <v>0.15</v>
      </c>
      <c r="D35" s="477" t="str">
        <f aca="false">IF(ISERROR(VLOOKUP($A35,'liste reference'!$A$7:$D$904,2,0)),IF(ISERROR(VLOOKUP($A35,'liste reference'!$B$7:$D$904,1,0)),"",VLOOKUP($A35,'liste reference'!$B$7:$D$904,1,0)),VLOOKUP($A35,'liste reference'!$A$7:$D$904,2,0))</f>
        <v>Osmunda regalis</v>
      </c>
      <c r="E35" s="496" t="e">
        <f aca="false">IF(D35="",0,VLOOKUP(D35,D$22:D34,1,0))</f>
        <v>#N/A</v>
      </c>
      <c r="F35" s="503" t="n">
        <f aca="false">($B35*$B$7+$C35*$C$7)/100</f>
        <v>0.22</v>
      </c>
      <c r="G35" s="479" t="str">
        <f aca="false">IF(A35="","",IF(ISERROR(VLOOKUP($A35,'liste reference'!$A$7:$P$904,13,0)),IF(ISERROR(VLOOKUP($A35,'liste reference'!$B$7:$P$904,12,0)),"    -",VLOOKUP($A35,'liste reference'!$B$7:$P$904,12,0)),VLOOKUP($A35,'liste reference'!$A$7:$P$904,13,0)))</f>
        <v>PTE</v>
      </c>
      <c r="H35" s="480" t="n">
        <f aca="false">IF(A35="","x",IF(ISERROR(VLOOKUP($A35,'liste reference'!$A$8:$P$904,14,0)),IF(ISERROR(VLOOKUP($A35,'liste reference'!$B$8:$P$904,13,0)),"x",VLOOKUP($A35,'liste reference'!$B$8:$P$904,13,0)),VLOOKUP($A35,'liste reference'!$A$8:$P$904,14,0)))</f>
        <v>6</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Osmunda regalis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1403</v>
      </c>
      <c r="Q35" s="486" t="n">
        <f aca="false">IF(ISTEXT(H35),"",(B35*$B$7/100)+(C35*$C$7/100))</f>
        <v>0.22</v>
      </c>
      <c r="R35" s="487" t="n">
        <f aca="false">IF(OR(ISTEXT(H35),Q35=0),"",IF(Q35&lt;0.1,1,IF(Q35&lt;1,2,IF(Q35&lt;10,3,IF(Q35&lt;50,4,IF(Q35&gt;=50,5,""))))))</f>
        <v>2</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OSMREG</v>
      </c>
      <c r="Z35" s="280" t="n">
        <f aca="false">IF(ISERROR(MATCH(A35,'liste reference'!$A$8:$A$904,0)),IF(ISERROR(MATCH(A35,'liste reference'!$B$8:$B$904,0)),"",(MATCH(A35,'liste reference'!$B$8:$B$904,0))),(MATCH(A35,'liste reference'!$A$8:$A$904,0)))</f>
        <v>298</v>
      </c>
      <c r="AA35" s="491"/>
      <c r="AB35" s="492"/>
      <c r="AC35" s="492"/>
      <c r="BB35" s="280" t="n">
        <f aca="false">IF(A35="","",1)</f>
        <v>1</v>
      </c>
    </row>
    <row r="36" customFormat="false" ht="12.75" hidden="false" customHeight="false" outlineLevel="0" collapsed="false">
      <c r="A36" s="493" t="s">
        <v>1847</v>
      </c>
      <c r="B36" s="494" t="n">
        <v>0.005</v>
      </c>
      <c r="C36" s="495"/>
      <c r="D36" s="477" t="str">
        <f aca="false">IF(ISERROR(VLOOKUP($A36,'liste reference'!$A$7:$D$904,2,0)),IF(ISERROR(VLOOKUP($A36,'liste reference'!$B$7:$D$904,1,0)),"",VLOOKUP($A36,'liste reference'!$B$7:$D$904,1,0)),VLOOKUP($A36,'liste reference'!$A$7:$D$904,2,0))</f>
        <v>Eupatorium cannabinum</v>
      </c>
      <c r="E36" s="496" t="e">
        <f aca="false">IF(D36="",0,VLOOKUP(D36,D$22:D35,1,0))</f>
        <v>#N/A</v>
      </c>
      <c r="F36" s="503" t="n">
        <f aca="false">($B36*$B$7+$C36*$C$7)/100</f>
        <v>0.0035</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Eupatorium cannabinum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1741</v>
      </c>
      <c r="Q36" s="486" t="n">
        <f aca="false">IF(ISTEXT(H36),"",(B36*$B$7/100)+(C36*$C$7/100))</f>
        <v>0.0035</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EUPCAN</v>
      </c>
      <c r="Z36" s="280" t="n">
        <f aca="false">IF(ISERROR(MATCH(A36,'liste reference'!$A$8:$A$904,0)),IF(ISERROR(MATCH(A36,'liste reference'!$B$8:$B$904,0)),"",(MATCH(A36,'liste reference'!$B$8:$B$904,0))),(MATCH(A36,'liste reference'!$A$8:$A$904,0)))</f>
        <v>568</v>
      </c>
      <c r="AA36" s="491"/>
      <c r="AB36" s="492"/>
      <c r="AC36" s="492"/>
      <c r="BB36" s="280" t="n">
        <f aca="false">IF(A36="","",1)</f>
        <v>1</v>
      </c>
    </row>
    <row r="37" customFormat="false" ht="12.75" hidden="false" customHeight="false" outlineLevel="0" collapsed="false">
      <c r="A37" s="493" t="s">
        <v>1936</v>
      </c>
      <c r="B37" s="494" t="n">
        <v>0.15</v>
      </c>
      <c r="C37" s="495" t="n">
        <v>0.1</v>
      </c>
      <c r="D37" s="477" t="str">
        <f aca="false">IF(ISERROR(VLOOKUP($A37,'liste reference'!$A$7:$D$904,2,0)),IF(ISERROR(VLOOKUP($A37,'liste reference'!$B$7:$D$904,1,0)),"",VLOOKUP($A37,'liste reference'!$B$7:$D$904,1,0)),VLOOKUP($A37,'liste reference'!$A$7:$D$904,2,0))</f>
        <v>Mentha aquatica</v>
      </c>
      <c r="E37" s="496" t="e">
        <f aca="false">IF(D37="",0,VLOOKUP(D37,D$22:D36,1,0))</f>
        <v>#N/A</v>
      </c>
      <c r="F37" s="503" t="n">
        <f aca="false">($B37*$B$7+$C37*$C$7)/100</f>
        <v>0.135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12</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Mentha aquatica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1791</v>
      </c>
      <c r="Q37" s="486" t="n">
        <f aca="false">IF(ISTEXT(H37),"",(B37*$B$7/100)+(C37*$C$7/100))</f>
        <v>0.135</v>
      </c>
      <c r="R37" s="487" t="n">
        <f aca="false">IF(OR(ISTEXT(H37),Q37=0),"",IF(Q37&lt;0.1,1,IF(Q37&lt;1,2,IF(Q37&lt;10,3,IF(Q37&lt;50,4,IF(Q37&gt;=50,5,""))))))</f>
        <v>2</v>
      </c>
      <c r="S37" s="487" t="n">
        <f aca="false">IF(ISERROR(R37*I37),0,R37*I37)</f>
        <v>24</v>
      </c>
      <c r="T37" s="487" t="n">
        <f aca="false">IF(ISERROR(R37*I37*J37),0,R37*I37*J37)</f>
        <v>24</v>
      </c>
      <c r="U37" s="499" t="n">
        <f aca="false">IF(ISERROR(R37*J37),0,R37*J37)</f>
        <v>2</v>
      </c>
      <c r="V37" s="488" t="str">
        <f aca="false">IF(AND(A37="",F37=0),"",IF(F37=0,"Il manque le(s) % de rec. !",""))</f>
        <v/>
      </c>
      <c r="W37" s="489"/>
      <c r="Y37" s="490" t="str">
        <f aca="false">IF(A37="new.cod","NEWCOD",IF(AND((Z37=""),ISTEXT(A37)),A37,IF(Z37="","",INDEX('liste reference'!$A$8:$A$904,Z37))))</f>
        <v>MENAQU</v>
      </c>
      <c r="Z37" s="280" t="n">
        <f aca="false">IF(ISERROR(MATCH(A37,'liste reference'!$A$8:$A$904,0)),IF(ISERROR(MATCH(A37,'liste reference'!$B$8:$B$904,0)),"",(MATCH(A37,'liste reference'!$B$8:$B$904,0))),(MATCH(A37,'liste reference'!$A$8:$A$904,0)))</f>
        <v>607</v>
      </c>
      <c r="AA37" s="491"/>
      <c r="AB37" s="492"/>
      <c r="AC37" s="492"/>
      <c r="BB37" s="280" t="n">
        <f aca="false">IF(A37="","",1)</f>
        <v>1</v>
      </c>
    </row>
    <row r="38" customFormat="false" ht="12.75" hidden="false" customHeight="false" outlineLevel="0" collapsed="false">
      <c r="A38" s="493" t="s">
        <v>2000</v>
      </c>
      <c r="B38" s="494" t="n">
        <v>0.01</v>
      </c>
      <c r="C38" s="495" t="n">
        <v>0.02</v>
      </c>
      <c r="D38" s="477" t="str">
        <f aca="false">IF(ISERROR(VLOOKUP($A38,'liste reference'!$A$7:$D$904,2,0)),IF(ISERROR(VLOOKUP($A38,'liste reference'!$B$7:$D$904,1,0)),"",VLOOKUP($A38,'liste reference'!$B$7:$D$904,1,0)),VLOOKUP($A38,'liste reference'!$A$7:$D$904,2,0))</f>
        <v>Phalaris arundinacea</v>
      </c>
      <c r="E38" s="496" t="e">
        <f aca="false">IF(D38="",0,VLOOKUP(D38,D$19:D33,1,0))</f>
        <v>#N/A</v>
      </c>
      <c r="F38" s="503" t="n">
        <f aca="false">($B38*$B$7+$C38*$C$7)/100</f>
        <v>0.013</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10</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Phalaris arundinacea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1577</v>
      </c>
      <c r="Q38" s="486" t="n">
        <f aca="false">IF(ISTEXT(H38),"",(B38*$B$7/100)+(C38*$C$7/100))</f>
        <v>0.013</v>
      </c>
      <c r="R38" s="487" t="n">
        <f aca="false">IF(OR(ISTEXT(H38),Q38=0),"",IF(Q38&lt;0.1,1,IF(Q38&lt;1,2,IF(Q38&lt;10,3,IF(Q38&lt;50,4,IF(Q38&gt;=50,5,""))))))</f>
        <v>1</v>
      </c>
      <c r="S38" s="487" t="n">
        <f aca="false">IF(ISERROR(R38*I38),0,R38*I38)</f>
        <v>10</v>
      </c>
      <c r="T38" s="487" t="n">
        <f aca="false">IF(ISERROR(R38*I38*J38),0,R38*I38*J38)</f>
        <v>10</v>
      </c>
      <c r="U38" s="499" t="n">
        <f aca="false">IF(ISERROR(R38*J38),0,R38*J38)</f>
        <v>1</v>
      </c>
      <c r="V38" s="488" t="str">
        <f aca="false">IF(AND(A38="",F38=0),"",IF(F38=0,"Il manque le(s) % de rec. !",""))</f>
        <v/>
      </c>
      <c r="W38" s="489"/>
      <c r="Y38" s="490" t="str">
        <f aca="false">IF(A38="new.cod","NEWCOD",IF(AND((Z38=""),ISTEXT(A38)),A38,IF(Z38="","",INDEX('liste reference'!$A$8:$A$904,Z38))))</f>
        <v>PHAARU</v>
      </c>
      <c r="Z38" s="280" t="n">
        <f aca="false">IF(ISERROR(MATCH(A38,'liste reference'!$A$8:$A$904,0)),IF(ISERROR(MATCH(A38,'liste reference'!$B$8:$B$904,0)),"",(MATCH(A38,'liste reference'!$B$8:$B$904,0))),(MATCH(A38,'liste reference'!$A$8:$A$904,0)))</f>
        <v>634</v>
      </c>
      <c r="AA38" s="491"/>
      <c r="AB38" s="492"/>
      <c r="AC38" s="492"/>
      <c r="BB38" s="280" t="n">
        <f aca="false">IF(A38="","",1)</f>
        <v>1</v>
      </c>
    </row>
    <row r="39" customFormat="false" ht="12.75" hidden="false" customHeight="false" outlineLevel="0" collapsed="false">
      <c r="A39" s="493" t="s">
        <v>2107</v>
      </c>
      <c r="B39" s="494" t="n">
        <v>0.005</v>
      </c>
      <c r="C39" s="495" t="n">
        <v>0.005</v>
      </c>
      <c r="D39" s="477" t="str">
        <f aca="false">IF(ISERROR(VLOOKUP($A39,'liste reference'!$A$7:$D$904,2,0)),IF(ISERROR(VLOOKUP($A39,'liste reference'!$B$7:$D$904,1,0)),"",VLOOKUP($A39,'liste reference'!$B$7:$D$904,1,0)),VLOOKUP($A39,'liste reference'!$A$7:$D$904,2,0))</f>
        <v>Typha sp.</v>
      </c>
      <c r="E39" s="496" t="e">
        <f aca="false">IF(D39="",0,VLOOKUP(D39,D$22:D38,1,0))</f>
        <v>#N/A</v>
      </c>
      <c r="F39" s="503" t="n">
        <f aca="false">($B39*$B$7+$C39*$C$7)/100</f>
        <v>0.005</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Typha sp.</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1674</v>
      </c>
      <c r="Q39" s="486" t="n">
        <f aca="false">IF(ISTEXT(H39),"",(B39*$B$7/100)+(C39*$C$7/100))</f>
        <v>0.005</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TYPSPX</v>
      </c>
      <c r="Z39" s="280" t="n">
        <f aca="false">IF(ISERROR(MATCH(A39,'liste reference'!$A$8:$A$904,0)),IF(ISERROR(MATCH(A39,'liste reference'!$B$8:$B$904,0)),"",(MATCH(A39,'liste reference'!$B$8:$B$904,0))),(MATCH(A39,'liste reference'!$A$8:$A$904,0)))</f>
        <v>681</v>
      </c>
      <c r="AA39" s="491"/>
      <c r="AB39" s="492"/>
      <c r="AC39" s="492"/>
      <c r="BB39" s="280" t="n">
        <f aca="false">IF(A39="","",1)</f>
        <v>1</v>
      </c>
    </row>
    <row r="40" customFormat="false" ht="12.75" hidden="false" customHeight="false" outlineLevel="0" collapsed="false">
      <c r="A40" s="493" t="s">
        <v>2204</v>
      </c>
      <c r="B40" s="494" t="n">
        <v>0.005</v>
      </c>
      <c r="C40" s="495"/>
      <c r="D40" s="477" t="str">
        <f aca="false">IF(ISERROR(VLOOKUP($A40,'liste reference'!$A$7:$D$904,2,0)),IF(ISERROR(VLOOKUP($A40,'liste reference'!$B$7:$D$904,1,0)),"",VLOOKUP($A40,'liste reference'!$B$7:$D$904,1,0)),VLOOKUP($A40,'liste reference'!$A$7:$D$904,2,0))</f>
        <v>Cyperus longus</v>
      </c>
      <c r="E40" s="496" t="e">
        <f aca="false">IF(D40="",0,VLOOKUP(D40,D$22:D39,1,0))</f>
        <v>#N/A</v>
      </c>
      <c r="F40" s="503" t="n">
        <f aca="false">($B40*$B$7+$C40*$C$7)/100</f>
        <v>0.0035</v>
      </c>
      <c r="G40" s="479" t="str">
        <f aca="false">IF(A40="","",IF(ISERROR(VLOOKUP($A40,'liste reference'!$A$7:$P$904,13,0)),IF(ISERROR(VLOOKUP($A40,'liste reference'!$B$7:$P$904,12,0)),"    -",VLOOKUP($A40,'liste reference'!$B$7:$P$904,12,0)),VLOOKUP($A40,'liste reference'!$A$7:$P$904,13,0)))</f>
        <v>PHg</v>
      </c>
      <c r="H40" s="480" t="n">
        <f aca="false">IF(A40="","x",IF(ISERROR(VLOOKUP($A40,'liste reference'!$A$8:$P$904,14,0)),IF(ISERROR(VLOOKUP($A40,'liste reference'!$B$8:$P$904,13,0)),"x",VLOOKUP($A40,'liste reference'!$B$8:$P$904,13,0)),VLOOKUP($A40,'liste reference'!$A$8:$P$904,14,0)))</f>
        <v>9</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Cyperus longus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1500</v>
      </c>
      <c r="Q40" s="486" t="n">
        <f aca="false">IF(ISTEXT(H40),"",(B40*$B$7/100)+(C40*$C$7/100))</f>
        <v>0.0035</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CYPLON</v>
      </c>
      <c r="Z40" s="280" t="n">
        <f aca="false">IF(ISERROR(MATCH(A40,'liste reference'!$A$8:$A$904,0)),IF(ISERROR(MATCH(A40,'liste reference'!$B$8:$B$904,0)),"",(MATCH(A40,'liste reference'!$B$8:$B$904,0))),(MATCH(A40,'liste reference'!$A$8:$A$904,0)))</f>
        <v>724</v>
      </c>
      <c r="AA40" s="491"/>
      <c r="AB40" s="492"/>
      <c r="AC40" s="492"/>
      <c r="BB40" s="280" t="n">
        <f aca="false">IF(A40="","",1)</f>
        <v>1</v>
      </c>
    </row>
    <row r="41" customFormat="false" ht="12.75" hidden="false" customHeight="false" outlineLevel="0" collapsed="false">
      <c r="A41" s="493" t="s">
        <v>2307</v>
      </c>
      <c r="B41" s="494" t="n">
        <v>0.005</v>
      </c>
      <c r="C41" s="495" t="n">
        <v>0.01</v>
      </c>
      <c r="D41" s="477" t="str">
        <f aca="false">IF(ISERROR(VLOOKUP($A41,'liste reference'!$A$7:$D$904,2,0)),IF(ISERROR(VLOOKUP($A41,'liste reference'!$B$7:$D$904,1,0)),"",VLOOKUP($A41,'liste reference'!$B$7:$D$904,1,0)),VLOOKUP($A41,'liste reference'!$A$7:$D$904,2,0))</f>
        <v>Juncus articulatus</v>
      </c>
      <c r="E41" s="496" t="e">
        <f aca="false">IF(D41="",0,VLOOKUP(D41,D$22:D40,1,0))</f>
        <v>#N/A</v>
      </c>
      <c r="F41" s="503" t="n">
        <f aca="false">($B41*$B$7+$C41*$C$7)/100</f>
        <v>0.0065</v>
      </c>
      <c r="G41" s="479" t="str">
        <f aca="false">IF(A41="","",IF(ISERROR(VLOOKUP($A41,'liste reference'!$A$7:$P$904,13,0)),IF(ISERROR(VLOOKUP($A41,'liste reference'!$B$7:$P$904,12,0)),"    -",VLOOKUP($A41,'liste reference'!$B$7:$P$904,12,0)),VLOOKUP($A41,'liste reference'!$A$7:$P$904,13,0)))</f>
        <v>PHg</v>
      </c>
      <c r="H41" s="480" t="n">
        <f aca="false">IF(A41="","x",IF(ISERROR(VLOOKUP($A41,'liste reference'!$A$8:$P$904,14,0)),IF(ISERROR(VLOOKUP($A41,'liste reference'!$B$8:$P$904,13,0)),"x",VLOOKUP($A41,'liste reference'!$B$8:$P$904,13,0)),VLOOKUP($A41,'liste reference'!$A$8:$P$904,14,0)))</f>
        <v>9</v>
      </c>
      <c r="I41" s="481" t="n">
        <f aca="false">IF(ISNUMBER(H41),IF(ISERROR(VLOOKUP($A41,'liste reference'!$A$7:$P$904,3,0)),IF(ISERROR(VLOOKUP($A41,'liste reference'!$B$7:$P$904,2,0)),"",VLOOKUP($A41,'liste reference'!$B$7:$P$904,2,0)),VLOOKUP($A41,'liste reference'!$A$7:$P$904,3,0)),"")</f>
        <v>0</v>
      </c>
      <c r="J41" s="481" t="n">
        <f aca="false">IF(ISNUMBER(H41),IF(ISERROR(VLOOKUP($A41,'liste reference'!$A$7:$P$904,4,0)),IF(ISERROR(VLOOKUP($A41,'liste reference'!$B$7:$P$904,3,0)),"",VLOOKUP($A41,'liste reference'!$B$7:$P$904,3,0)),VLOOKUP($A41,'liste reference'!$A$7:$P$904,4,0)),"")</f>
        <v>0</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Juncus articulatus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1609</v>
      </c>
      <c r="Q41" s="486" t="n">
        <f aca="false">IF(ISTEXT(H41),"",(B41*$B$7/100)+(C41*$C$7/100))</f>
        <v>0.0065</v>
      </c>
      <c r="R41" s="487" t="n">
        <f aca="false">IF(OR(ISTEXT(H41),Q41=0),"",IF(Q41&lt;0.1,1,IF(Q41&lt;1,2,IF(Q41&lt;10,3,IF(Q41&lt;50,4,IF(Q41&gt;=50,5,""))))))</f>
        <v>1</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JUNART</v>
      </c>
      <c r="Z41" s="280" t="n">
        <f aca="false">IF(ISERROR(MATCH(A41,'liste reference'!$A$8:$A$904,0)),IF(ISERROR(MATCH(A41,'liste reference'!$B$8:$B$904,0)),"",(MATCH(A41,'liste reference'!$B$8:$B$904,0))),(MATCH(A41,'liste reference'!$A$8:$A$904,0)))</f>
        <v>768</v>
      </c>
      <c r="AA41" s="491"/>
      <c r="AB41" s="492"/>
      <c r="AC41" s="492"/>
      <c r="BB41" s="280" t="n">
        <f aca="false">IF(A41="","",1)</f>
        <v>1</v>
      </c>
    </row>
    <row r="42" customFormat="false" ht="12.75" hidden="false" customHeight="false" outlineLevel="0" collapsed="false">
      <c r="A42" s="493" t="s">
        <v>2686</v>
      </c>
      <c r="B42" s="494" t="n">
        <v>0.005</v>
      </c>
      <c r="C42" s="495" t="n">
        <v>0.005</v>
      </c>
      <c r="D42" s="477" t="str">
        <f aca="false">IF(ISERROR(VLOOKUP($A42,'liste reference'!$A$7:$D$904,2,0)),IF(ISERROR(VLOOKUP($A42,'liste reference'!$B$7:$D$904,1,0)),"",VLOOKUP($A42,'liste reference'!$B$7:$D$904,1,0)),VLOOKUP($A42,'liste reference'!$A$7:$D$904,2,0))</f>
        <v/>
      </c>
      <c r="E42" s="496" t="n">
        <f aca="false">IF(D42="",0,VLOOKUP(D42,D$22:D41,1,0))</f>
        <v>0</v>
      </c>
      <c r="F42" s="503" t="n">
        <f aca="false">($B42*$B$7+$C42*$C$7)/100</f>
        <v>0.005</v>
      </c>
      <c r="G42" s="479" t="str">
        <f aca="false">IF(A42="","",IF(ISERROR(VLOOKUP($A42,'liste reference'!$A$7:$P$904,13,0)),IF(ISERROR(VLOOKUP($A42,'liste reference'!$B$7:$P$904,12,0)),"    -",VLOOKUP($A42,'liste reference'!$B$7:$P$904,12,0)),VLOOKUP($A42,'liste reference'!$A$7:$P$904,13,0)))</f>
        <v>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Bellium bellioides</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No</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NEWCOD</v>
      </c>
      <c r="Z42" s="280" t="str">
        <f aca="false">IF(ISERROR(MATCH(A42,'liste reference'!$A$8:$A$904,0)),IF(ISERROR(MATCH(A42,'liste reference'!$B$8:$B$904,0)),"",(MATCH(A42,'liste reference'!$B$8:$B$904,0))),(MATCH(A42,'liste reference'!$A$8:$A$904,0)))</f>
        <v/>
      </c>
      <c r="AA42" s="491"/>
      <c r="AB42" s="492" t="s">
        <v>2687</v>
      </c>
      <c r="AC42" s="492"/>
      <c r="BB42" s="280" t="n">
        <f aca="false">IF(A42="","",1)</f>
        <v>1</v>
      </c>
    </row>
    <row r="43" customFormat="false" ht="12.75" hidden="false" customHeight="false" outlineLevel="0" collapsed="false">
      <c r="A43" s="493" t="s">
        <v>2686</v>
      </c>
      <c r="B43" s="494"/>
      <c r="C43" s="495" t="n">
        <v>0.01</v>
      </c>
      <c r="D43" s="477" t="str">
        <f aca="false">IF(ISERROR(VLOOKUP($A43,'liste reference'!$A$7:$D$904,2,0)),IF(ISERROR(VLOOKUP($A43,'liste reference'!$B$7:$D$904,1,0)),"",VLOOKUP($A43,'liste reference'!$B$7:$D$904,1,0)),VLOOKUP($A43,'liste reference'!$A$7:$D$904,2,0))</f>
        <v/>
      </c>
      <c r="E43" s="496" t="n">
        <f aca="false">IF(D43="",0,VLOOKUP(D43,D$22:D42,1,0))</f>
        <v>0</v>
      </c>
      <c r="F43" s="503" t="n">
        <f aca="false">($B43*$B$7+$C43*$C$7)/100</f>
        <v>0.003</v>
      </c>
      <c r="G43" s="479" t="str">
        <f aca="false">IF(A43="","",IF(ISERROR(VLOOKUP($A43,'liste reference'!$A$7:$P$904,13,0)),IF(ISERROR(VLOOKUP($A43,'liste reference'!$B$7:$P$904,12,0)),"    -",VLOOKUP($A43,'liste reference'!$B$7:$P$904,12,0)),VLOOKUP($A43,'liste reference'!$A$7:$P$904,13,0)))</f>
        <v>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Mougeotiopsis sp.</v>
      </c>
      <c r="L43" s="498"/>
      <c r="M43" s="498"/>
      <c r="N43" s="498"/>
      <c r="O43" s="484" t="s">
        <v>2685</v>
      </c>
      <c r="P43" s="485" t="str">
        <f aca="false">IF($A43="NEWCOD",IF($AC43="","No",$AC43),IF(ISTEXT($E43),"DEJA SAISI !",IF($A43="","",IF(ISERROR(VLOOKUP($A43,'liste reference'!A:S,19,FALSE())),IF(ISERROR(VLOOKUP($A43,'liste reference'!B:S,19,FALSE())),"",VLOOKUP($A43,'liste reference'!B:S,19,FALSE())),VLOOKUP($A43,'liste reference'!A:S,19,FALSE())))))</f>
        <v>No</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NEWCOD</v>
      </c>
      <c r="Z43" s="280" t="str">
        <f aca="false">IF(ISERROR(MATCH(A43,'liste reference'!$A$8:$A$904,0)),IF(ISERROR(MATCH(A43,'liste reference'!$B$8:$B$904,0)),"",(MATCH(A43,'liste reference'!$B$8:$B$904,0))),(MATCH(A43,'liste reference'!$A$8:$A$904,0)))</f>
        <v/>
      </c>
      <c r="AA43" s="491" t="s">
        <v>2685</v>
      </c>
      <c r="AB43" s="492" t="s">
        <v>2688</v>
      </c>
      <c r="AC43" s="492"/>
      <c r="BB43" s="280" t="n">
        <f aca="false">IF(A43="","",1)</f>
        <v>1</v>
      </c>
    </row>
    <row r="44" customFormat="false" ht="12.75" hidden="false" customHeight="false" outlineLevel="0" collapsed="false">
      <c r="A44" s="493" t="s">
        <v>2686</v>
      </c>
      <c r="B44" s="494" t="n">
        <v>0.005</v>
      </c>
      <c r="C44" s="495"/>
      <c r="D44" s="477" t="str">
        <f aca="false">IF(ISERROR(VLOOKUP($A44,'liste reference'!$A$7:$D$904,2,0)),IF(ISERROR(VLOOKUP($A44,'liste reference'!$B$7:$D$904,1,0)),"",VLOOKUP($A44,'liste reference'!$B$7:$D$904,1,0)),VLOOKUP($A44,'liste reference'!$A$7:$D$904,2,0))</f>
        <v/>
      </c>
      <c r="E44" s="496" t="n">
        <f aca="false">IF(D44="",0,VLOOKUP(D44,D$22:D43,1,0))</f>
        <v>0</v>
      </c>
      <c r="F44" s="503" t="n">
        <f aca="false">($B44*$B$7+$C44*$C$7)/100</f>
        <v>0.0035</v>
      </c>
      <c r="G44" s="479" t="str">
        <f aca="false">IF(A44="","",IF(ISERROR(VLOOKUP($A44,'liste reference'!$A$7:$P$904,13,0)),IF(ISERROR(VLOOKUP($A44,'liste reference'!$B$7:$P$904,12,0)),"    -",VLOOKUP($A44,'liste reference'!$B$7:$P$904,12,0)),VLOOKUP($A44,'liste reference'!$A$7:$P$904,13,0)))</f>
        <v>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Solenopsis minuta ssp. corsica</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No</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NEWCOD</v>
      </c>
      <c r="Z44" s="280" t="str">
        <f aca="false">IF(ISERROR(MATCH(A44,'liste reference'!$A$8:$A$904,0)),IF(ISERROR(MATCH(A44,'liste reference'!$B$8:$B$904,0)),"",(MATCH(A44,'liste reference'!$B$8:$B$904,0))),(MATCH(A44,'liste reference'!$A$8:$A$904,0)))</f>
        <v/>
      </c>
      <c r="AA44" s="491"/>
      <c r="AB44" s="492" t="s">
        <v>2689</v>
      </c>
      <c r="AC44" s="492"/>
      <c r="BB44" s="280" t="n">
        <f aca="false">IF(A44="","",1)</f>
        <v>1</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3"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IF(D46="",0,VLOOKUP(D46,D$22:D45,1,0))</f>
        <v>0</v>
      </c>
      <c r="F46" s="503"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IF(D47="",0,VLOOKUP(D47,D$22:D46,1,0))</f>
        <v>0</v>
      </c>
      <c r="F47" s="503"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IF(D48="",0,VLOOKUP(D48,D$15:D47,1,0))</f>
        <v>0</v>
      </c>
      <c r="F48" s="503"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3"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3"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3"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IF(D52="",0,VLOOKUP(D52,D$21:D51,1,0))</f>
        <v>0</v>
      </c>
      <c r="F52" s="503"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X52" s="504"/>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3"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3"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X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3"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3"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IF(D57="",0,VLOOKUP(D57,D$22:D56,1,0))</f>
        <v>0</v>
      </c>
      <c r="F57" s="503"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IF(D58="",0,VLOOKUP(D58,D$17:D56,1,0))</f>
        <v>0</v>
      </c>
      <c r="F58" s="503"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3"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98"/>
      <c r="M59" s="498"/>
      <c r="N59" s="498"/>
      <c r="O59" s="484"/>
      <c r="P59" s="485"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3"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8"/>
      <c r="M60" s="498"/>
      <c r="N60" s="498"/>
      <c r="O60" s="484"/>
      <c r="P60" s="485"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3"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3"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3"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3"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3"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3"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3"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3"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3"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3"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3"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3"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3"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3"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3"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3"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3"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3"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3"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3"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3"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0"/>
      <c r="M81" s="500"/>
      <c r="N81" s="500"/>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Travo</v>
      </c>
      <c r="B84" s="529" t="str">
        <f aca="false">C3</f>
        <v>Ventiseri</v>
      </c>
      <c r="C84" s="530" t="n">
        <f aca="false">A4</f>
        <v>41827</v>
      </c>
      <c r="D84" s="531" t="n">
        <f aca="false">IF(ISERROR(SUM($T$23:$T$82)/SUM($U$23:$U$82)),"",SUM($T$23:$T$82)/SUM($U$23:$U$82))</f>
        <v>12.5384615384615</v>
      </c>
      <c r="E84" s="532" t="n">
        <f aca="false">N13</f>
        <v>22</v>
      </c>
      <c r="F84" s="529" t="n">
        <f aca="false">N14</f>
        <v>19</v>
      </c>
      <c r="G84" s="529" t="n">
        <f aca="false">N15</f>
        <v>6</v>
      </c>
      <c r="H84" s="529" t="n">
        <f aca="false">N16</f>
        <v>3</v>
      </c>
      <c r="I84" s="529" t="n">
        <f aca="false">N17</f>
        <v>0</v>
      </c>
      <c r="J84" s="533" t="n">
        <f aca="false">N8</f>
        <v>5.63157894736842</v>
      </c>
      <c r="K84" s="531" t="n">
        <f aca="false">N9</f>
        <v>6.14055137517273</v>
      </c>
      <c r="L84" s="532" t="n">
        <f aca="false">N10</f>
        <v>0</v>
      </c>
      <c r="M84" s="532" t="n">
        <f aca="false">N11</f>
        <v>16</v>
      </c>
      <c r="N84" s="531" t="n">
        <f aca="false">O8</f>
        <v>0.631578947368421</v>
      </c>
      <c r="O84" s="531" t="n">
        <f aca="false">O9</f>
        <v>0.740591962077384</v>
      </c>
      <c r="P84" s="532" t="n">
        <f aca="false">O10</f>
        <v>0</v>
      </c>
      <c r="Q84" s="532" t="n">
        <f aca="false">O11</f>
        <v>2</v>
      </c>
      <c r="R84" s="532" t="n">
        <f aca="false">F21</f>
        <v>1.2175</v>
      </c>
      <c r="S84" s="532" t="n">
        <f aca="false">K11</f>
        <v>0</v>
      </c>
      <c r="T84" s="532" t="n">
        <f aca="false">K12</f>
        <v>6</v>
      </c>
      <c r="U84" s="532" t="n">
        <f aca="false">K13</f>
        <v>5</v>
      </c>
      <c r="V84" s="534" t="n">
        <f aca="false">K14</f>
        <v>2</v>
      </c>
      <c r="W84" s="535" t="n">
        <f aca="false">K15</f>
        <v>6</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24</v>
      </c>
      <c r="T87" s="280"/>
      <c r="U87" s="280"/>
      <c r="V87" s="280"/>
    </row>
    <row r="88" customFormat="false" ht="12.75" hidden="true" customHeight="false" outlineLevel="0" collapsed="false">
      <c r="P88" s="280"/>
      <c r="Q88" s="280" t="s">
        <v>2693</v>
      </c>
      <c r="R88" s="280"/>
      <c r="S88" s="488" t="n">
        <f aca="false">VLOOKUP((S87),($S$23:$U$82),2,0)</f>
        <v>24</v>
      </c>
      <c r="T88" s="280"/>
      <c r="U88" s="280"/>
      <c r="V88" s="280"/>
    </row>
    <row r="89" customFormat="false" ht="12.75" hidden="true" customHeight="false" outlineLevel="0" collapsed="false">
      <c r="Q89" s="280" t="s">
        <v>2694</v>
      </c>
      <c r="R89" s="280"/>
      <c r="S89" s="488" t="n">
        <f aca="false">VLOOKUP((S87),($S$23:$U$82),3,0)</f>
        <v>2</v>
      </c>
      <c r="T89" s="280"/>
    </row>
    <row r="90" customFormat="false" ht="12.75" hidden="false" customHeight="false" outlineLevel="0" collapsed="false">
      <c r="Q90" s="280" t="s">
        <v>2695</v>
      </c>
      <c r="R90" s="280"/>
      <c r="S90" s="538" t="n">
        <f aca="false">IF(ISERROR(SUM($T$23:$T$82)/SUM($U$23:$U$82)),"",(SUM($T$23:$T$82)-S88)/(SUM($U$23:$U$82)-S89))</f>
        <v>12.6363636363636</v>
      </c>
      <c r="T90" s="280"/>
    </row>
    <row r="91" customFormat="false" ht="12.75" hidden="false" customHeight="false" outlineLevel="0" collapsed="false">
      <c r="Q91" s="487" t="s">
        <v>2696</v>
      </c>
      <c r="R91" s="487"/>
      <c r="S91" s="487" t="str">
        <f aca="false">INDEX('liste reference'!$A$8:$A$904,$T$91)</f>
        <v>MENAQU</v>
      </c>
      <c r="T91" s="280" t="n">
        <f aca="false">IF(ISERROR(MATCH($S$93,'liste reference'!$A$8:$A$904,0)),MATCH($S$93,'liste reference'!$B$8:$B$904,0),(MATCH($S$93,'liste reference'!$A$8:$A$904,0)))</f>
        <v>607</v>
      </c>
      <c r="U91" s="527"/>
    </row>
    <row r="92" customFormat="false" ht="12.75" hidden="false" customHeight="false" outlineLevel="0" collapsed="false">
      <c r="Q92" s="280" t="s">
        <v>2697</v>
      </c>
      <c r="R92" s="280"/>
      <c r="S92" s="280" t="n">
        <f aca="false">MATCH(S87,$S$23:$S$82,0)</f>
        <v>15</v>
      </c>
      <c r="T92" s="280"/>
    </row>
    <row r="93" customFormat="false" ht="12.75" hidden="false" customHeight="false" outlineLevel="0" collapsed="false">
      <c r="Q93" s="487" t="s">
        <v>2698</v>
      </c>
      <c r="R93" s="280"/>
      <c r="S93" s="487" t="str">
        <f aca="false">INDEX($A$23:$A$82,$S$92)</f>
        <v>MENAQU</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2699</v>
      </c>
      <c r="B2" s="284"/>
      <c r="C2" s="285" t="s">
        <v>2700</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2701</v>
      </c>
      <c r="B3" s="284"/>
      <c r="C3" s="283" t="s">
        <v>2702</v>
      </c>
      <c r="D3" s="294"/>
      <c r="E3" s="294"/>
      <c r="F3" s="295"/>
      <c r="G3" s="295"/>
      <c r="H3" s="296"/>
      <c r="I3" s="297"/>
      <c r="J3" s="296"/>
      <c r="K3" s="298" t="s">
        <v>2703</v>
      </c>
      <c r="L3" s="299"/>
      <c r="M3" s="300" t="s">
        <v>2704</v>
      </c>
      <c r="N3" s="301"/>
      <c r="O3" s="301"/>
      <c r="P3" s="302"/>
      <c r="Q3" s="280"/>
      <c r="R3" s="280"/>
      <c r="S3" s="280"/>
      <c r="T3" s="280"/>
      <c r="U3" s="280"/>
      <c r="V3" s="280"/>
      <c r="W3" s="292"/>
      <c r="X3" s="293"/>
    </row>
    <row r="4" customFormat="false" ht="13.5" hidden="false" customHeight="false" outlineLevel="0" collapsed="false">
      <c r="A4" s="303" t="s">
        <v>2705</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2"/>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3"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3"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3"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3"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3"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3"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3"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3"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3"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3"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3"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3"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3"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3"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3"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3"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3"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3"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3"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3"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3"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3"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3"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3"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4"/>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3"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3"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0"/>
      <c r="M59" s="500"/>
      <c r="N59" s="500"/>
      <c r="O59" s="484"/>
      <c r="P59" s="501"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3"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0"/>
      <c r="M60" s="500"/>
      <c r="N60" s="500"/>
      <c r="O60" s="484"/>
      <c r="P60" s="501"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3"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3"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3"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3"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3"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3"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3"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3"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3"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3"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3"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3"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3"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3"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3"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3"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3"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3"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3"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3"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3"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0"/>
      <c r="M81" s="500"/>
      <c r="N81" s="500"/>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0</v>
      </c>
      <c r="T87" s="280"/>
      <c r="U87" s="280"/>
      <c r="V87" s="280"/>
    </row>
    <row r="88" customFormat="false" ht="12.75" hidden="true" customHeight="false" outlineLevel="0" collapsed="false">
      <c r="P88" s="280"/>
      <c r="Q88" s="280" t="s">
        <v>2693</v>
      </c>
      <c r="R88" s="280"/>
      <c r="S88" s="488" t="n">
        <f aca="false">VLOOKUP((S87),($S$23:$U$82),2,0)</f>
        <v>0</v>
      </c>
      <c r="T88" s="280"/>
      <c r="U88" s="280"/>
      <c r="V88" s="280"/>
    </row>
    <row r="89" customFormat="false" ht="12.75" hidden="true" customHeight="false" outlineLevel="0" collapsed="false">
      <c r="Q89" s="280" t="s">
        <v>2694</v>
      </c>
      <c r="R89" s="280"/>
      <c r="S89" s="488" t="n">
        <f aca="false">VLOOKUP((S87),($S$23:$U$82),3,0)</f>
        <v>0</v>
      </c>
      <c r="T89" s="280"/>
    </row>
    <row r="90" customFormat="false" ht="12.75" hidden="false" customHeight="false" outlineLevel="0" collapsed="false">
      <c r="Q90" s="280" t="s">
        <v>2695</v>
      </c>
      <c r="R90" s="280"/>
      <c r="S90" s="538" t="str">
        <f aca="false">IF(ISERROR(SUM($T$23:$T$82)/SUM($U$23:$U$82)),"",(SUM($T$23:$T$82)-S88)/(SUM($U$23:$U$82)-S89))</f>
        <v/>
      </c>
      <c r="T90" s="280"/>
    </row>
    <row r="91" customFormat="false" ht="12.75" hidden="false" customHeight="false" outlineLevel="0" collapsed="false">
      <c r="Q91" s="487" t="s">
        <v>2696</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2697</v>
      </c>
      <c r="R92" s="280"/>
      <c r="S92" s="280" t="n">
        <f aca="false">MATCH(S87,$S$23:$S$82,0)</f>
        <v>1</v>
      </c>
      <c r="T92" s="280"/>
    </row>
    <row r="93" customFormat="false" ht="12.75" hidden="false" customHeight="false" outlineLevel="0" collapsed="false">
      <c r="Q93" s="487" t="s">
        <v>2698</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2706</v>
      </c>
      <c r="B1" s="549"/>
      <c r="C1" s="549"/>
      <c r="D1" s="549"/>
    </row>
    <row r="2" customFormat="false" ht="15" hidden="false" customHeight="false" outlineLevel="0" collapsed="false">
      <c r="A2" s="550" t="s">
        <v>2707</v>
      </c>
      <c r="B2" s="551"/>
      <c r="C2" s="552"/>
      <c r="D2" s="552"/>
    </row>
    <row r="3" customFormat="false" ht="15.75" hidden="false" customHeight="false" outlineLevel="0" collapsed="false">
      <c r="A3" s="550" t="s">
        <v>2708</v>
      </c>
      <c r="B3" s="551"/>
      <c r="C3" s="552"/>
      <c r="D3" s="553" t="s">
        <v>2709</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2710</v>
      </c>
      <c r="G15" s="571"/>
      <c r="H15" s="572" t="s">
        <v>2711</v>
      </c>
      <c r="I15" s="571"/>
    </row>
    <row r="16" customFormat="false" ht="15" hidden="false" customHeight="false" outlineLevel="0" collapsed="false">
      <c r="A16" s="567" t="s">
        <v>1708</v>
      </c>
      <c r="B16" s="566" t="s">
        <v>1709</v>
      </c>
      <c r="C16" s="568"/>
      <c r="D16" s="569"/>
      <c r="F16" s="573" t="s">
        <v>2712</v>
      </c>
      <c r="G16" s="574"/>
      <c r="H16" s="573" t="s">
        <v>2712</v>
      </c>
      <c r="I16" s="575"/>
    </row>
    <row r="17" customFormat="false" ht="15" hidden="false" customHeight="false" outlineLevel="0" collapsed="false">
      <c r="A17" s="565" t="s">
        <v>2127</v>
      </c>
      <c r="B17" s="566" t="s">
        <v>2128</v>
      </c>
      <c r="C17" s="568"/>
      <c r="D17" s="569"/>
      <c r="F17" s="576" t="s">
        <v>2713</v>
      </c>
      <c r="G17" s="577"/>
      <c r="H17" s="576" t="s">
        <v>2713</v>
      </c>
      <c r="I17" s="578"/>
    </row>
    <row r="18" customFormat="false" ht="15" hidden="false" customHeight="false" outlineLevel="0" collapsed="false">
      <c r="A18" s="565" t="s">
        <v>1212</v>
      </c>
      <c r="B18" s="566" t="s">
        <v>1213</v>
      </c>
      <c r="C18" s="568"/>
      <c r="D18" s="569"/>
      <c r="F18" s="576" t="s">
        <v>2714</v>
      </c>
      <c r="G18" s="577"/>
      <c r="H18" s="576" t="s">
        <v>2714</v>
      </c>
      <c r="I18" s="578"/>
    </row>
    <row r="19" customFormat="false" ht="15" hidden="false" customHeight="false" outlineLevel="0" collapsed="false">
      <c r="A19" s="565" t="s">
        <v>1711</v>
      </c>
      <c r="B19" s="566" t="s">
        <v>1712</v>
      </c>
      <c r="C19" s="568"/>
      <c r="D19" s="569"/>
      <c r="F19" s="576" t="s">
        <v>2624</v>
      </c>
      <c r="G19" s="577"/>
      <c r="H19" s="576" t="s">
        <v>2624</v>
      </c>
      <c r="I19" s="578"/>
    </row>
    <row r="20" customFormat="false" ht="15" hidden="false" customHeight="false" outlineLevel="0" collapsed="false">
      <c r="A20" s="567" t="s">
        <v>1714</v>
      </c>
      <c r="B20" s="566" t="s">
        <v>1715</v>
      </c>
      <c r="C20" s="568"/>
      <c r="D20" s="569"/>
      <c r="F20" s="576" t="s">
        <v>2715</v>
      </c>
      <c r="G20" s="577"/>
      <c r="H20" s="576" t="s">
        <v>2715</v>
      </c>
      <c r="I20" s="578"/>
    </row>
    <row r="21" customFormat="false" ht="15" hidden="false" customHeight="false" outlineLevel="0" collapsed="false">
      <c r="A21" s="567" t="s">
        <v>1720</v>
      </c>
      <c r="B21" s="566" t="s">
        <v>1721</v>
      </c>
      <c r="C21" s="568"/>
      <c r="D21" s="569"/>
      <c r="F21" s="576" t="s">
        <v>2716</v>
      </c>
      <c r="G21" s="577"/>
      <c r="H21" s="576" t="s">
        <v>2716</v>
      </c>
      <c r="I21" s="578"/>
    </row>
    <row r="22" customFormat="false" ht="15" hidden="false" customHeight="false" outlineLevel="0" collapsed="false">
      <c r="A22" s="565" t="s">
        <v>1726</v>
      </c>
      <c r="B22" s="566" t="s">
        <v>1727</v>
      </c>
      <c r="C22" s="568"/>
      <c r="D22" s="569"/>
      <c r="F22" s="576" t="s">
        <v>2717</v>
      </c>
      <c r="G22" s="577"/>
      <c r="H22" s="576" t="s">
        <v>2717</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2718</v>
      </c>
      <c r="G24" s="577"/>
      <c r="H24" s="576" t="s">
        <v>2718</v>
      </c>
      <c r="I24" s="578"/>
    </row>
    <row r="25" customFormat="false" ht="15" hidden="false" customHeight="false" outlineLevel="0" collapsed="false">
      <c r="A25" s="565" t="s">
        <v>2133</v>
      </c>
      <c r="B25" s="566" t="s">
        <v>2134</v>
      </c>
      <c r="C25" s="568"/>
      <c r="D25" s="569"/>
      <c r="F25" s="579" t="s">
        <v>2719</v>
      </c>
      <c r="G25" s="580"/>
      <c r="H25" s="579" t="s">
        <v>2719</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2720</v>
      </c>
    </row>
    <row r="35" customFormat="false" ht="15" hidden="false" customHeight="false" outlineLevel="0" collapsed="false">
      <c r="A35" s="565" t="s">
        <v>52</v>
      </c>
      <c r="B35" s="566" t="s">
        <v>53</v>
      </c>
      <c r="C35" s="568"/>
      <c r="D35" s="569"/>
      <c r="F35" s="583" t="s">
        <v>2721</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2722</v>
      </c>
      <c r="C37" s="568"/>
      <c r="D37" s="569"/>
      <c r="F37" s="585" t="s">
        <v>2723</v>
      </c>
    </row>
    <row r="38" customFormat="false" ht="15" hidden="false" customHeight="false" outlineLevel="0" collapsed="false">
      <c r="A38" s="565" t="s">
        <v>2145</v>
      </c>
      <c r="B38" s="566" t="s">
        <v>2146</v>
      </c>
      <c r="C38" s="568"/>
      <c r="D38" s="569"/>
      <c r="F38" s="585" t="s">
        <v>2724</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2725</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2726</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2727</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2728</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2729</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2730</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2731</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2015-03-24T17:29:57Z</dcterms:modified>
  <cp:revision>0</cp:revision>
  <dc:subject/>
  <dc:title>Feuille d'aide au calcul de l'IBMR</dc:title>
</cp:coreProperties>
</file>