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195" sheetId="6" state="visible" r:id="rId8"/>
    <sheet name="jgjg" sheetId="7" state="hidden" r:id="rId9"/>
    <sheet name="liste codes réf" sheetId="8" state="hidden" r:id="rId10"/>
  </sheets>
  <definedNames>
    <definedName function="false" hidden="false" localSheetId="5" name="_xlnm.Print_Area" vbProcedure="false">'06222195'!$A$1:$Q$82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<sst xmlns="http://schemas.openxmlformats.org/spreadsheetml/2006/main" count="8836" uniqueCount="3496">
  <si>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</si>
  <si>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</si>
  <si>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</si>
  <si>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</si>
  <si>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</si>
  <si>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</si>
  <si>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</si>
  <si>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</si>
  <si>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</si>
  <si>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</si>
  <si>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</si>
  <si>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</si>
  <si>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</si>
  <si>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</si>
  <si>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</si>
  <si>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</si>
  <si>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</si>
  <si>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</si>
  <si>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</si>
  <si>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</si>
  <si>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</si>
  <si>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</si>
  <si>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</si>
  <si>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</si>
  <si>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</si>
  <si>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</si>
  <si>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</si>
  <si>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</si>
  <si>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</si>
  <si>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</si>
  <si>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</si>
  <si>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</si>
  <si>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</si>
  <si>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</si>
  <si>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</si>
  <si>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</si>
  <si>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</si>
  <si>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</si>
  <si>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</si>
  <si>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</si>
  <si>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</si>
  <si>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</si>
  <si>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</si>
  <si>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</si>
  <si>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</si>
  <si>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</si>
  <si>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</si>
  <si>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</si>
  <si>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</si>
  <si>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</si>
  <si>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</si>
  <si>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</si>
  <si>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</si>
  <si>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</si>
  <si>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</si>
  <si>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</si>
  <si>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</si>
  <si>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</si>
  <si>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</si>
  <si>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</si>
  <si>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</si>
  <si>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</si>
  <si>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</si>
  <si>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</si>
  <si>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</si>
  <si>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</si>
  <si>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</si>
  <si>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</si>
  <si>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</si>
  <si>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</si>
  <si>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</si>
  <si>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</si>
  <si>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</si>
  <si>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</si>
  <si>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</si>
  <si>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</si>
  <si>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</si>
  <si>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</si>
  <si>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</si>
  <si>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</si>
  <si>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</si>
  <si>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</si>
  <si>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</si>
  <si>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</si>
  <si>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</si>
  <si>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</si>
  <si>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</si>
  <si>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</si>
  <si>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</si>
  <si>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</si>
  <si>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</si>
  <si>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</si>
  <si>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</si>
  <si>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</si>
  <si>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</si>
  <si>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</si>
  <si>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</si>
  <si>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</si>
  <si>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</si>
  <si>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</si>
  <si>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</si>
  <si>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</si>
  <si>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</si>
  <si>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</si>
  <si>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</si>
  <si>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</si>
  <si>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</si>
  <si>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</si>
  <si>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</si>
  <si>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</si>
  <si>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</si>
  <si>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</si>
  <si>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</si>
  <si>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</si>
  <si>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</si>
  <si>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</si>
  <si>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</si>
  <si>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</si>
  <si>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</si>
  <si>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</si>
  <si>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</si>
  <si>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</si>
  <si>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</si>
  <si>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</si>
  <si>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</si>
  <si>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</si>
  <si>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</si>
  <si>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</si>
  <si>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</si>
  <si>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</si>
  <si>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</si>
  <si>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</si>
  <si>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</si>
  <si>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</si>
  <si>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</si>
  <si>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</si>
  <si>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</si>
  <si>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</si>
  <si>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</si>
  <si>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</si>
  <si>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</si>
  <si>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</si>
  <si>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</si>
  <si>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</si>
  <si>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</si>
  <si>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</si>
  <si>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</si>
  <si>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</si>
  <si>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</si>
  <si>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</si>
  <si>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</si>
  <si>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</si>
  <si>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</si>
  <si>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</si>
  <si>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</si>
  <si>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</si>
  <si>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</si>
  <si>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</si>
  <si>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</si>
  <si>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</si>
  <si>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</si>
  <si>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</si>
  <si>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</si>
  <si>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</si>
  <si>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</si>
  <si>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</si>
  <si>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</si>
  <si>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</si>
  <si>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</si>
  <si>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</si>
  <si>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</si>
  <si>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</si>
  <si>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</si>
  <si>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</si>
  <si>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</si>
  <si>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</si>
  <si>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</si>
  <si>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</si>
  <si>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</si>
  <si>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</si>
  <si>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</si>
  <si>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</si>
  <si>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</si>
  <si>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</si>
  <si>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</si>
  <si>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</si>
  <si>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</si>
  <si>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</si>
  <si>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</si>
  <si>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</si>
  <si>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</si>
  <si>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</si>
  <si>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</si>
  <si>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</si>
  <si>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</si>
  <si>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</si>
  <si>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</si>
  <si>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</si>
  <si>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</si>
  <si>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</si>
  <si>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</si>
  <si>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</si>
  <si>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</si>
  <si>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</si>
  <si>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</si>
  <si>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</si>
  <si>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</si>
  <si>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</si>
  <si>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</si>
  <si>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</si>
  <si>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</si>
  <si>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</si>
  <si>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</si>
  <si>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</si>
  <si>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</si>
  <si>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</si>
  <si>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</si>
  <si>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</si>
  <si>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</si>
  <si>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</si>
  <si>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</si>
  <si>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</si>
  <si>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</si>
  <si>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</si>
  <si>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</si>
  <si>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</si>
  <si>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</si>
  <si>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</si>
  <si>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</si>
  <si>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</si>
  <si>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</si>
  <si>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</si>
  <si>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</si>
  <si>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</si>
  <si>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</si>
  <si>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</si>
  <si>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</si>
  <si>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</si>
  <si>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</si>
  <si>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</si>
  <si>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</si>
  <si>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</si>
  <si>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</si>
  <si>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</si>
  <si>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</si>
  <si>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</si>
  <si>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</si>
  <si>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</si>
  <si>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</si>
  <si>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</si>
  <si>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</si>
  <si>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</si>
  <si>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</si>
  <si>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</si>
  <si>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</si>
  <si>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</si>
  <si>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</si>
  <si>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</si>
  <si>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</si>
  <si>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</si>
  <si>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</si>
  <si>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</si>
  <si>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</si>
  <si>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</si>
  <si>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</si>
  <si>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</si>
  <si>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</si>
  <si>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</si>
  <si>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</si>
  <si>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</si>
  <si>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</si>
  <si>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</si>
  <si>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</si>
  <si>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</si>
  <si>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</si>
  <si>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</si>
  <si>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</si>
  <si>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</si>
  <si>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</si>
  <si>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</si>
  <si>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</si>
  <si>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</si>
  <si>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</si>
  <si>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</si>
  <si>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</si>
  <si>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</si>
  <si>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</si>
  <si>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</si>
  <si>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</si>
  <si>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</si>
  <si>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</si>
  <si>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</si>
  <si>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</si>
  <si>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</si>
  <si>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</si>
  <si>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</si>
  <si>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</si>
  <si>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</si>
  <si>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</si>
  <si>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</si>
  <si>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</si>
  <si>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</si>
  <si>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</si>
  <si>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</si>
  <si>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</si>
  <si>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</si>
  <si>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</si>
  <si>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</si>
  <si>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</si>
  <si>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</si>
  <si>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</si>
  <si>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</si>
  <si>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</si>
  <si>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</si>
  <si>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</si>
  <si>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</si>
  <si>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</si>
  <si>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</si>
  <si>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</si>
  <si>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</si>
  <si>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</si>
  <si>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</si>
  <si>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</si>
  <si>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</si>
  <si>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</si>
  <si>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</si>
  <si>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</si>
  <si>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</si>
  <si>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</si>
  <si>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</si>
  <si>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</si>
  <si>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</si>
  <si>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</si>
  <si>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</si>
  <si>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</si>
  <si>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</si>
  <si>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</si>
  <si>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</si>
  <si>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</si>
  <si>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</si>
  <si>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</si>
  <si>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</si>
  <si>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</si>
  <si>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</si>
  <si>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</si>
  <si>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</si>
  <si>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</si>
  <si>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</si>
  <si>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</si>
  <si>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</si>
  <si>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</si>
  <si>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</si>
  <si>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</si>
  <si>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</si>
  <si>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</si>
  <si>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</si>
  <si>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</si>
  <si>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</si>
  <si>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</si>
  <si>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</si>
  <si>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</si>
  <si>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</si>
  <si>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</si>
  <si>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</si>
  <si>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</si>
  <si>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</si>
  <si>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</si>
  <si>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</si>
  <si>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</si>
  <si>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</si>
  <si>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</si>
  <si>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</si>
  <si>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</si>
  <si>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</si>
  <si>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</si>
  <si>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</si>
  <si>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</si>
  <si>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</si>
  <si>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</si>
  <si>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</si>
  <si>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</si>
  <si>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</si>
  <si>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</si>
  <si>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</si>
  <si>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</si>
  <si>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</si>
  <si>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</si>
  <si>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</si>
  <si>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</si>
  <si>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</si>
  <si>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</si>
  <si>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</si>
  <si>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</si>
  <si>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</si>
  <si>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</si>
  <si>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</si>
  <si>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</si>
  <si>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</si>
  <si>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</si>
  <si>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</si>
  <si>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</si>
  <si>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</si>
  <si>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</si>
  <si>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</si>
  <si>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</si>
  <si>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</si>
  <si>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</si>
  <si>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</si>
  <si>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</si>
  <si>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</si>
  <si>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</si>
  <si>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</si>
  <si>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</si>
  <si>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</si>
  <si>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</si>
  <si>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</si>
  <si>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</si>
  <si>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</si>
  <si>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</si>
  <si>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</si>
  <si>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</si>
  <si>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</si>
  <si>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</si>
  <si>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</si>
  <si>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</si>
  <si>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</si>
  <si>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</si>
  <si>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</si>
  <si>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</si>
  <si>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</si>
  <si>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</si>
  <si>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</si>
  <si>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</si>
  <si>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</si>
  <si>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</si>
  <si>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</si>
  <si>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</si>
  <si>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</si>
  <si>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</si>
  <si>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</si>
  <si>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</si>
  <si>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</si>
  <si>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</si>
  <si>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</si>
  <si>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</si>
  <si>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</si>
  <si>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</si>
  <si>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</si>
  <si>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</si>
  <si>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</si>
  <si>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</si>
  <si>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</si>
  <si>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</si>
  <si>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</si>
  <si>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</si>
  <si>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</si>
  <si>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</si>
  <si>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</si>
  <si>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</si>
  <si>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</si>
  <si>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</si>
  <si>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</si>
  <si>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</si>
  <si>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</si>
  <si>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</si>
  <si>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</si>
  <si>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</si>
  <si>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</si>
  <si>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</si>
  <si>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</si>
  <si>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</si>
  <si>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</si>
  <si>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</si>
  <si>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</si>
  <si>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</si>
  <si>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</si>
  <si>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</si>
  <si>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</si>
  <si>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</si>
  <si>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</si>
  <si>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</si>
  <si>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</si>
  <si>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</si>
  <si>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</si>
  <si>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</si>
  <si>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</si>
  <si>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</si>
  <si>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</si>
  <si>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</si>
  <si>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</si>
  <si>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</si>
  <si>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</si>
  <si>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</si>
  <si>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</si>
  <si>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</si>
  <si>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</si>
  <si>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</si>
  <si>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</si>
  <si>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</si>
  <si>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</si>
  <si>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</si>
  <si>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</si>
  <si>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</si>
  <si>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</si>
  <si>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</si>
  <si>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</si>
  <si>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</si>
  <si>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</si>
  <si>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</si>
  <si>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</si>
  <si>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</si>
  <si>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</si>
  <si>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</si>
  <si>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</si>
  <si>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</si>
  <si>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</si>
  <si>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</si>
  <si>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</si>
  <si>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</si>
  <si>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</si>
  <si>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</si>
  <si>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</si>
  <si>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</si>
  <si>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</si>
  <si>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</si>
  <si>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</si>
  <si>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</si>
  <si>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</si>
  <si>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</si>
  <si>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</si>
  <si>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</si>
  <si>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</si>
  <si>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</si>
  <si>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</si>
  <si>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</si>
  <si>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</si>
  <si>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</si>
  <si>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</si>
  <si>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</si>
  <si>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</si>
  <si>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</si>
  <si>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</si>
  <si>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</si>
  <si>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</si>
  <si>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</si>
  <si>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</si>
  <si>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</si>
  <si>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</si>
  <si>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</si>
  <si>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</si>
  <si>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</si>
  <si>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</si>
  <si>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</si>
  <si>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</si>
  <si>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</si>
  <si>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</si>
  <si>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</si>
  <si>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</si>
  <si>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</si>
  <si>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</si>
  <si>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</si>
  <si>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</si>
  <si>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</si>
  <si>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</si>
  <si>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</si>
  <si>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</si>
  <si>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</si>
  <si>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</si>
  <si>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</si>
  <si>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</si>
  <si>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</si>
  <si>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</si>
  <si>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</si>
  <si>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</si>
  <si>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</si>
  <si>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</si>
  <si>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</si>
  <si>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</si>
  <si>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</si>
  <si>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</si>
  <si>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</si>
  <si>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</si>
  <si>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</si>
  <si>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</si>
  <si>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</si>
  <si>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</si>
  <si>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</si>
  <si>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</si>
  <si>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</si>
  <si>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</si>
  <si>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</si>
  <si>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</si>
  <si>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</si>
  <si>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</si>
  <si>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</si>
  <si>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</si>
  <si>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</si>
  <si>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</si>
  <si>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</si>
  <si>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</si>
  <si>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</si>
  <si>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</si>
  <si>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</si>
  <si>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</si>
  <si>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</si>
  <si>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</si>
  <si>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</si>
  <si>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</si>
  <si>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</si>
  <si>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</si>
  <si>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</si>
  <si>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</si>
  <si>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</si>
  <si>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</si>
  <si>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</si>
  <si>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</si>
  <si>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</si>
  <si>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</si>
  <si>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</si>
  <si>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</si>
  <si>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</si>
  <si>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</si>
  <si>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</si>
  <si>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</si>
  <si>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</si>
  <si>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</si>
  <si>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</si>
  <si>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</si>
  <si>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</si>
  <si>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</si>
  <si>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</si>
  <si>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</si>
  <si>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</si>
  <si>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</si>
  <si>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</si>
  <si>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</si>
  <si>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</si>
  <si>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</si>
  <si>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</si>
  <si>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</si>
  <si>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</si>
  <si>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</si>
  <si>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</si>
  <si>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</si>
  <si>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</si>
  <si>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</si>
  <si>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</si>
  <si>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</si>
  <si>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</si>
  <si>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</si>
  <si>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</si>
  <si>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</si>
  <si>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</si>
  <si>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</si>
  <si>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</si>
  <si>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</si>
  <si>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</si>
  <si>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</si>
  <si>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</si>
  <si>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</si>
  <si>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</si>
  <si>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</si>
  <si>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</si>
  <si>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</si>
  <si>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</si>
  <si>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</si>
  <si>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</si>
  <si>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</si>
  <si>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</si>
  <si>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</si>
  <si>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</si>
  <si>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</si>
  <si>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</si>
  <si>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</si>
  <si>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</si>
  <si>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</si>
  <si>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</si>
  <si>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</si>
  <si>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</si>
  <si>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</si>
  <si>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</si>
  <si>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</si>
  <si>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</si>
  <si>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</si>
  <si>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</si>
  <si>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</si>
  <si>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</si>
  <si>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</si>
  <si>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</si>
  <si>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</si>
  <si>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</si>
  <si>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</si>
  <si>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</si>
  <si>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</si>
  <si>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</si>
  <si>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</si>
  <si>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</si>
  <si>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</si>
  <si>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</si>
  <si>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</si>
  <si>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</si>
  <si>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</si>
  <si>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</si>
  <si>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</si>
  <si>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</si>
  <si>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</si>
  <si>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</si>
  <si>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</si>
  <si>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</si>
  <si>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</si>
  <si>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</si>
  <si>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</si>
  <si>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</si>
  <si>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</si>
  <si>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</si>
  <si>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</si>
  <si>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</si>
  <si>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</si>
  <si>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</si>
  <si>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</si>
  <si>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</si>
  <si>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</si>
  <si>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</si>
  <si>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</si>
  <si>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</si>
  <si>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</si>
  <si>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</si>
  <si>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</si>
  <si>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</si>
  <si>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</si>
  <si>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</si>
  <si>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</si>
  <si>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</si>
  <si>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</si>
  <si>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</si>
  <si>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</si>
  <si>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</si>
  <si>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</si>
  <si>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</si>
  <si>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</si>
  <si>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</si>
  <si>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</si>
  <si>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</si>
  <si>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</si>
  <si>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</si>
  <si>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</si>
  <si>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</si>
  <si>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</si>
  <si>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</si>
  <si>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</si>
  <si>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</si>
  <si>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</si>
  <si>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</si>
  <si>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</si>
  <si>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</si>
  <si>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</si>
  <si>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</si>
  <si>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</si>
  <si>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</si>
  <si>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</si>
  <si>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</si>
  <si>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</si>
  <si>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</si>
  <si>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</si>
  <si>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</si>
  <si>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</si>
  <si>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</si>
  <si>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</si>
  <si>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</si>
  <si>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</si>
  <si>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</si>
  <si>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</si>
  <si>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</si>
  <si>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</si>
  <si>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</si>
  <si>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</si>
  <si>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</si>
  <si>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</si>
  <si>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</si>
  <si>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</si>
  <si>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</si>
  <si>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</si>
  <si>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</si>
  <si>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</si>
  <si>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</si>
  <si>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</si>
  <si>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</si>
  <si>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</si>
  <si>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</si>
  <si>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</si>
  <si>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</si>
  <si>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</si>
  <si>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</si>
  <si>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</si>
  <si>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</si>
  <si>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</si>
  <si>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</si>
  <si>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</si>
  <si>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</si>
  <si>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</si>
  <si>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</si>
  <si>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</si>
  <si>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</si>
  <si>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</si>
  <si>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</si>
  <si>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</si>
  <si>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</si>
  <si>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</si>
  <si>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</si>
  <si>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</si>
  <si>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</si>
  <si>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</si>
  <si>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</si>
  <si>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</si>
  <si>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</si>
  <si>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</si>
  <si>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</si>
  <si>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</si>
  <si>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</si>
  <si>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</si>
  <si>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</si>
  <si>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</si>
  <si>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</si>
  <si>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</si>
  <si>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</si>
  <si>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</si>
  <si>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</si>
  <si>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</si>
  <si>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</si>
  <si>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</si>
  <si>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</si>
  <si>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</si>
  <si>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</si>
  <si>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</si>
  <si>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</si>
  <si>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</si>
  <si>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</si>
  <si>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</si>
  <si>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</si>
  <si>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</si>
  <si>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</si>
  <si>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</si>
  <si>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</si>
  <si>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</si>
  <si>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</si>
  <si>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</si>
  <si>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</si>
  <si>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</si>
  <si>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</si>
  <si>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</si>
  <si>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</si>
  <si>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</si>
  <si>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</si>
  <si>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</si>
  <si>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</si>
  <si>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</si>
  <si>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</si>
  <si>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</si>
  <si>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</si>
  <si>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</si>
  <si>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</si>
  <si>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</si>
  <si>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</si>
  <si>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</si>
  <si>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</si>
  <si>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</si>
  <si>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</si>
  <si>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</si>
  <si>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</si>
  <si>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</si>
  <si>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</si>
  <si>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</si>
  <si>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</si>
  <si>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</si>
  <si>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</si>
  <si>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</si>
  <si>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</si>
  <si>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</si>
  <si>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</si>
  <si>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</si>
  <si>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</si>
  <si>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</si>
  <si>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</si>
  <si>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</si>
  <si>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</si>
  <si>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</si>
  <si>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</si>
  <si>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</si>
  <si>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</si>
  <si>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</si>
  <si>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</si>
  <si>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</si>
  <si>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</si>
  <si>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</si>
  <si>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</si>
  <si>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</si>
  <si>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</si>
  <si>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</si>
  <si>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</si>
  <si>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</si>
  <si>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</si>
  <si>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</si>
  <si>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</si>
  <si>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</si>
  <si>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</si>
  <si>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</si>
  <si>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</si>
  <si>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</si>
  <si>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</si>
  <si>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</si>
  <si>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</si>
  <si>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</si>
  <si>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</si>
  <si>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</si>
  <si>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</si>
  <si>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</si>
  <si>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</si>
  <si>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</si>
  <si>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</si>
  <si>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</si>
  <si>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</si>
  <si>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</si>
  <si>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</si>
  <si>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</si>
  <si>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</si>
  <si>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</si>
  <si>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</si>
  <si>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</si>
  <si>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</si>
  <si>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</si>
  <si>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</si>
  <si>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</si>
  <si>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</si>
  <si>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</si>
  <si>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</si>
  <si>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</si>
  <si>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</si>
  <si>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</si>
  <si>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</si>
  <si>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</si>
  <si>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</si>
  <si>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</si>
  <si>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</si>
  <si>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</si>
  <si>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</si>
  <si>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</si>
  <si>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</si>
  <si>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</si>
  <si>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</si>
  <si>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</si>
  <si>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</si>
  <si>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</si>
  <si>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</si>
  <si>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</si>
  <si>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</si>
  <si>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</si>
  <si>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</si>
  <si>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</si>
  <si>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</si>
  <si>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</si>
  <si>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</si>
  <si>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</si>
  <si>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</si>
  <si>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</si>
  <si>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</si>
  <si>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</si>
  <si>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</si>
  <si>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</si>
  <si>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</si>
  <si>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</si>
  <si>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</si>
  <si>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</si>
  <si>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</si>
  <si>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</si>
  <si>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</si>
  <si>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</si>
  <si>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</si>
  <si>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</si>
  <si>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</si>
  <si>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</si>
  <si>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</si>
  <si>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</si>
  <si>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</si>
  <si>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</si>
  <si>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</si>
  <si>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</si>
  <si>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</si>
  <si>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</si>
  <si>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</si>
  <si>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</si>
  <si>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</si>
  <si>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</si>
  <si>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</si>
  <si>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</si>
  <si>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</si>
  <si>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</si>
  <si>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</si>
  <si>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</si>
  <si>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</si>
  <si>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</si>
  <si>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</si>
  <si>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</si>
  <si>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</si>
  <si>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</si>
  <si>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</si>
  <si>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</si>
  <si>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</si>
  <si>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</si>
  <si>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</si>
  <si>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</si>
  <si>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</si>
  <si>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</si>
  <si>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</si>
  <si>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</si>
  <si>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</si>
  <si>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</si>
  <si>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</si>
  <si>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</si>
  <si>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</si>
  <si>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</si>
  <si>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</si>
  <si>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</si>
  <si>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</si>
  <si>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</si>
  <si>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</si>
  <si>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</si>
  <si>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</si>
  <si>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</si>
  <si>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</si>
  <si>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</si>
  <si>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</si>
  <si>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</si>
  <si>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</si>
  <si>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</si>
  <si>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</si>
  <si>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</si>
  <si>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</si>
  <si>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</si>
  <si>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</si>
  <si>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</si>
  <si>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</si>
  <si>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</si>
  <si>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</si>
  <si>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</si>
  <si>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</si>
  <si>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</si>
  <si>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</si>
  <si>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</si>
  <si>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</si>
  <si>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</si>
  <si>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</si>
  <si>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</si>
  <si>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</si>
  <si>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</si>
  <si>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</si>
  <si>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</si>
  <si>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</si>
  <si>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</si>
  <si>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</si>
  <si>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</si>
  <si>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</si>
  <si>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</si>
  <si>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</si>
  <si>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</si>
  <si>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</si>
  <si>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</si>
  <si>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</si>
  <si>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</si>
  <si>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</si>
  <si>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</si>
  <si>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</si>
  <si>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</si>
  <si>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</si>
  <si>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</si>
  <si>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</si>
  <si>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</si>
  <si>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</si>
  <si>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</si>
  <si>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</si>
  <si>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</si>
  <si>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</si>
  <si>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</si>
  <si>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</si>
  <si>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</si>
  <si>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</si>
  <si>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</si>
  <si>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</si>
  <si>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</si>
  <si>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</si>
  <si>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</si>
  <si>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</si>
  <si>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</si>
  <si>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</si>
  <si>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</si>
  <si>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</si>
  <si>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</si>
  <si>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</si>
  <si>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</si>
  <si>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</si>
  <si>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</si>
  <si>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</si>
  <si>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</si>
  <si>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</si>
  <si>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</si>
  <si>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</si>
  <si>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</si>
  <si>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</si>
  <si>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</si>
  <si>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</si>
  <si>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</si>
  <si>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</si>
  <si>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</si>
  <si>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</si>
  <si>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</si>
  <si>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</si>
  <si>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</si>
  <si>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</si>
  <si>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</si>
  <si>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</si>
  <si>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</si>
  <si>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</si>
  <si>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</si>
  <si>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</si>
  <si>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</si>
  <si>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</si>
  <si>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</si>
  <si>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</si>
  <si>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</si>
  <si>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</si>
  <si>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</si>
  <si>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</si>
  <si>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</si>
  <si>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</si>
  <si>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</si>
  <si>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</si>
  <si>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</si>
  <si>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</si>
  <si>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</si>
  <si>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</si>
  <si>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</si>
  <si>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</si>
  <si>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</si>
  <si>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</si>
  <si>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</si>
  <si>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</si>
  <si>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</si>
  <si>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</si>
  <si>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</si>
  <si>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</si>
  <si>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</si>
  <si>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</si>
  <si>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</si>
  <si>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</si>
  <si>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</si>
  <si>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</si>
  <si>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</si>
  <si>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</si>
  <si>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</si>
  <si>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</si>
  <si>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</si>
  <si>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</si>
  <si>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</si>
  <si>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</si>
  <si>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</si>
  <si>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</si>
  <si>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</si>
  <si>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</si>
  <si>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</si>
  <si>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</si>
  <si>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</si>
  <si>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</si>
  <si>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</si>
  <si>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</si>
  <si>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</si>
  <si>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</si>
  <si>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</si>
  <si>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</si>
  <si>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</si>
  <si>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</si>
  <si>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</si>
  <si>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</si>
  <si>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</si>
  <si>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</si>
  <si>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</si>
  <si>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</si>
  <si>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</si>
  <si>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</si>
  <si>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</si>
  <si>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</si>
  <si>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</si>
  <si>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</si>
  <si>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</si>
  <si>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</si>
  <si>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</si>
  <si>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</si>
  <si>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</si>
  <si>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</si>
  <si>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</si>
  <si>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</si>
  <si>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</si>
  <si>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</si>
  <si>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</si>
  <si>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</si>
  <si>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</si>
  <si>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</si>
  <si>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</si>
  <si>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</si>
  <si>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</si>
  <si>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</si>
  <si>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</si>
  <si>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</si>
  <si>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</si>
  <si>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</si>
  <si>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</si>
  <si>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</si>
  <si>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</si>
  <si>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</si>
  <si>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</si>
  <si>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</si>
  <si>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</si>
  <si>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</si>
  <si>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</si>
  <si>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</si>
  <si>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</si>
  <si>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</si>
  <si>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</si>
  <si>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</si>
  <si>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</si>
  <si>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</si>
  <si>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</si>
  <si>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</si>
  <si>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</si>
  <si>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</si>
  <si>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</si>
  <si>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</si>
  <si>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</si>
  <si>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</si>
  <si>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</si>
  <si>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</si>
  <si>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</si>
  <si>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</si>
  <si>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</si>
  <si>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</si>
  <si>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</si>
  <si>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</si>
  <si>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</si>
  <si>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</si>
  <si>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</si>
  <si>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</si>
  <si>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</si>
  <si>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</si>
  <si>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</si>
  <si>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</si>
  <si>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</si>
  <si>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</si>
  <si>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</si>
  <si>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</si>
  <si>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</si>
  <si>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</si>
  <si>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</si>
  <si>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</si>
  <si>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</si>
  <si>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</si>
  <si>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</si>
  <si>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</si>
  <si>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</si>
  <si>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</si>
  <si>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</si>
  <si>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</si>
  <si>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</si>
  <si>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</si>
  <si>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</si>
  <si>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</si>
  <si>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</si>
  <si>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</si>
  <si>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</si>
  <si>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</si>
  <si>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</si>
  <si>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</si>
  <si>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</si>
  <si>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</si>
  <si>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</si>
  <si>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</si>
  <si>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</si>
  <si>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</si>
  <si>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</si>
  <si>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</si>
  <si>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</si>
  <si>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</si>
  <si>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</si>
  <si>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</si>
  <si>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</si>
  <si>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</si>
  <si>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</si>
  <si>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</si>
  <si>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</si>
  <si>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</si>
  <si>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</si>
  <si>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</si>
  <si>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</si>
  <si>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</si>
  <si>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</si>
  <si>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</si>
  <si>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</si>
  <si>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</si>
  <si>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</si>
  <si>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</si>
  <si>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</si>
  <si>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</si>
  <si>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</si>
  <si>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</si>
  <si>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</si>
  <si>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</si>
  <si>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</si>
  <si>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</si>
  <si>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</si>
  <si>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</si>
  <si>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</si>
  <si>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</si>
  <si>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</si>
  <si>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</si>
  <si>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</si>
  <si>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</si>
  <si>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</si>
  <si>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</si>
  <si>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</si>
  <si>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</si>
  <si>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</si>
  <si>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</si>
  <si>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</si>
  <si>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</si>
  <si>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</si>
  <si>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</si>
  <si>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</si>
  <si>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</si>
  <si>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</si>
  <si>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</si>
  <si>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</si>
  <si>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</si>
  <si>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</si>
  <si>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</si>
  <si>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</si>
  <si>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</si>
  <si>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</si>
  <si>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</si>
  <si>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</si>
  <si>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</si>
  <si>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</si>
  <si>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</si>
  <si>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</si>
  <si>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</si>
  <si>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</si>
  <si>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</si>
  <si>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</si>
  <si>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</si>
  <si>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</si>
  <si>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</si>
  <si>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</si>
  <si>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</si>
  <si>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</si>
  <si>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</si>
  <si>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</si>
  <si>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</si>
  <si>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</si>
  <si>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</si>
  <si>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</si>
  <si>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</si>
  <si>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</si>
  <si>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</si>
  <si>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</si>
  <si>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</si>
  <si>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</si>
  <si>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</si>
  <si>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</si>
  <si>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</si>
  <si>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</si>
  <si>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</si>
  <si>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</si>
  <si>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</si>
  <si>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</si>
  <si>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</si>
  <si>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</si>
  <si>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</si>
  <si>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</si>
  <si>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</si>
  <si>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</si>
  <si>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</si>
  <si>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</si>
  <si>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</si>
  <si>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</si>
  <si>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</si>
  <si>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</si>
  <si>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</si>
  <si>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</si>
  <si>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</si>
  <si>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</si>
  <si>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</si>
  <si>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</si>
  <si>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</si>
  <si>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</si>
  <si>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</si>
  <si>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</si>
  <si>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</si>
  <si>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</si>
  <si>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</si>
  <si>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</si>
  <si>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</si>
  <si>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</si>
  <si>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</si>
  <si>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</si>
  <si>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</si>
  <si>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</si>
  <si>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</si>
  <si>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</si>
  <si>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</si>
  <si>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</si>
  <si>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</si>
  <si>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</si>
  <si>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</si>
  <si>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</si>
  <si>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</si>
  <si>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</si>
  <si>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</si>
  <si>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</si>
  <si>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</si>
  <si>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</si>
  <si>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</si>
  <si>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</si>
  <si>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</si>
  <si>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</si>
  <si>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</si>
  <si>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</si>
  <si>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</si>
  <si>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</si>
  <si>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</si>
  <si>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</si>
  <si>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</si>
  <si>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</si>
  <si>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</si>
  <si>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</si>
  <si>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</si>
  <si>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</si>
  <si>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</si>
  <si>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</si>
  <si>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</si>
  <si>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</si>
  <si>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</si>
  <si>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</si>
  <si>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</si>
  <si>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</si>
  <si>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</si>
  <si>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</si>
  <si>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</si>
  <si>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</si>
  <si>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</si>
  <si>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</si>
  <si>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</si>
  <si>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</si>
  <si>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</si>
  <si>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</si>
  <si>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</si>
  <si>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</si>
  <si>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</si>
  <si>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</si>
  <si>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</si>
  <si>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</si>
  <si>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</si>
  <si>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</si>
  <si>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</si>
  <si>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</si>
  <si>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</si>
  <si>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</si>
  <si>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</si>
  <si>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</si>
  <si>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</si>
  <si>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</si>
  <si>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</si>
  <si>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</si>
  <si>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</si>
  <si>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</si>
  <si>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</si>
  <si>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</si>
  <si>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</si>
  <si>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</si>
  <si>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</si>
  <si>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</si>
  <si>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</si>
  <si>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</si>
  <si>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</si>
  <si>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</si>
  <si>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</si>
  <si>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</si>
  <si>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</si>
  <si>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</si>
  <si>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</si>
  <si>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</si>
  <si>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</si>
  <si>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</si>
  <si>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</si>
  <si>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</si>
  <si>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</si>
  <si>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</si>
  <si>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</si>
  <si>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</si>
  <si>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</si>
  <si>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</si>
  <si>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</si>
  <si>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</si>
  <si>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</si>
  <si>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</si>
  <si>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</si>
  <si>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</si>
  <si>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</si>
  <si>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</si>
  <si>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</si>
  <si>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</si>
  <si>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</si>
  <si>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</si>
  <si>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</si>
  <si>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</si>
  <si>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</si>
  <si>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</si>
  <si>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</si>
  <si>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</si>
  <si>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</si>
  <si>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</si>
  <si>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</si>
  <si>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</si>
  <si>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</si>
  <si>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</si>
  <si>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</si>
  <si>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</si>
  <si>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</si>
  <si>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</si>
  <si>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</si>
  <si>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</si>
  <si>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</si>
  <si>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</si>
  <si>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</si>
  <si>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</si>
  <si>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</si>
  <si>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</si>
  <si>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</si>
  <si>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</si>
  <si>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</si>
  <si>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</si>
  <si>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</si>
  <si>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</si>
  <si>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</si>
  <si>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</si>
  <si>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</si>
  <si>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</si>
  <si>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</si>
  <si>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</si>
  <si>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</si>
  <si>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</si>
  <si>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</si>
  <si>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</si>
  <si>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</si>
  <si>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</si>
  <si>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</si>
  <si>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</si>
  <si>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</si>
  <si>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</si>
  <si>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</si>
  <si>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</si>
  <si>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</si>
  <si>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</si>
  <si>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</si>
  <si>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</si>
  <si>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</si>
  <si>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</si>
  <si>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</si>
  <si>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</si>
  <si>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</si>
  <si>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</si>
  <si>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</si>
  <si>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</si>
  <si>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</si>
  <si>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</si>
  <si>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</si>
  <si>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</si>
  <si>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</si>
  <si>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</si>
  <si>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</si>
  <si>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</si>
  <si>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</si>
  <si>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</si>
  <si>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</si>
  <si>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</si>
  <si>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</si>
  <si>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</si>
  <si>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</si>
  <si>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</si>
  <si>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</si>
  <si>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</si>
  <si>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</si>
  <si>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</si>
  <si>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</si>
  <si>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</si>
  <si>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</si>
  <si>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</si>
  <si>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</si>
  <si>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</si>
  <si>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</si>
  <si>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</si>
  <si>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</si>
  <si>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</si>
  <si>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</si>
  <si>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</si>
  <si>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</si>
  <si>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</si>
  <si>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</si>
  <si>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</si>
  <si>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</si>
  <si>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</si>
  <si>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</si>
  <si>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</si>
  <si>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</si>
  <si>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</si>
  <si>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</si>
  <si>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</si>
  <si>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</si>
  <si>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</si>
  <si>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</si>
  <si>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</si>
  <si>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</si>
  <si>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</si>
  <si>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</si>
  <si>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</si>
  <si>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</si>
  <si>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</si>
  <si>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</si>
  <si>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</si>
  <si>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</si>
  <si>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</si>
  <si>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</si>
  <si>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</si>
  <si>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</si>
  <si>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</si>
  <si>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</si>
  <si>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</si>
  <si>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</si>
  <si>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</si>
  <si>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</si>
  <si>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</si>
  <si>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</si>
  <si>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</si>
  <si>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</si>
  <si>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</si>
  <si>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</si>
  <si>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</si>
  <si>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</si>
  <si>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</si>
  <si>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</si>
  <si>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</si>
  <si>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</si>
  <si>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</si>
  <si>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</si>
  <si>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</si>
  <si>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</si>
  <si>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</si>
  <si>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</si>
  <si>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</si>
  <si>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</si>
  <si>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</si>
  <si>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</si>
  <si>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</si>
  <si>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</si>
  <si>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</si>
  <si>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</si>
  <si>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</si>
  <si>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</si>
  <si>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</si>
  <si>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</si>
  <si>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</si>
  <si>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</si>
  <si>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</si>
  <si>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</si>
  <si>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</si>
  <si>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</si>
  <si>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</si>
  <si>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</si>
  <si>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</si>
  <si>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</si>
  <si>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</si>
  <si>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</si>
  <si>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</si>
  <si>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</si>
  <si>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</si>
  <si>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</si>
  <si>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</si>
  <si>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</si>
  <si>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</si>
  <si>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</si>
  <si>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</si>
  <si>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</si>
  <si>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</si>
  <si>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</si>
  <si>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</si>
  <si>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</si>
  <si>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</si>
  <si>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</si>
  <si>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</si>
  <si>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</si>
  <si>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</si>
  <si>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</si>
  <si>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</si>
  <si>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</si>
  <si>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</si>
  <si>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</si>
  <si>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</si>
  <si>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</si>
  <si>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</si>
  <si>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</si>
  <si>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</si>
  <si>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</si>
  <si>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</si>
  <si>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</si>
  <si>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</si>
  <si>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</si>
  <si>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</si>
  <si>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</si>
  <si>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</si>
  <si>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</si>
  <si>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</si>
  <si>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</si>
  <si>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</si>
  <si>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</si>
  <si>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</si>
  <si>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</si>
  <si>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</si>
  <si>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</si>
  <si>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</si>
  <si>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</si>
  <si>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</si>
  <si>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</si>
  <si>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</si>
  <si>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</si>
  <si>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</si>
  <si>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</si>
  <si>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</si>
  <si>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</si>
  <si>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</si>
  <si>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</si>
  <si>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</si>
  <si>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</si>
  <si>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</si>
  <si>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</si>
  <si>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</si>
  <si>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</si>
  <si>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</si>
  <si>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</si>
  <si>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</si>
  <si>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</si>
  <si>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</si>
  <si>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</si>
  <si>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</si>
  <si>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</si>
  <si>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</si>
  <si>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</si>
  <si>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</si>
  <si>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</si>
  <si>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</si>
  <si>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</si>
  <si>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</si>
  <si>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</si>
  <si>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</si>
  <si>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</si>
  <si>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</si>
  <si>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</si>
  <si>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</si>
  <si>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</si>
  <si>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</si>
  <si>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</si>
  <si>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</si>
  <si>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</si>
  <si>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</si>
  <si>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</si>
  <si>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</si>
  <si>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</si>
  <si>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</si>
  <si>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</si>
  <si>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</si>
  <si>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</si>
  <si>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</si>
  <si>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</si>
  <si>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</si>
  <si>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</si>
  <si>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</si>
  <si>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</si>
  <si>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</si>
  <si>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</si>
  <si>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</si>
  <si>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</si>
  <si>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</si>
  <si>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</si>
  <si>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</si>
  <si>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</si>
  <si>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</si>
  <si>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</si>
  <si>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</si>
  <si>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</si>
  <si>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</si>
  <si>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</si>
  <si>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</si>
  <si>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</si>
  <si>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</si>
  <si>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</si>
  <si>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</si>
  <si>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</si>
  <si>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</si>
  <si>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</si>
  <si>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</si>
  <si>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</si>
  <si>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</si>
  <si>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</si>
  <si>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</si>
  <si>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</si>
  <si>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</si>
  <si>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</si>
  <si>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</si>
  <si>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</si>
  <si>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</si>
  <si>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</si>
  <si>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</si>
  <si>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</si>
  <si>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</si>
  <si>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</si>
  <si>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</si>
  <si>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</si>
  <si>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</si>
  <si>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</si>
  <si>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</si>
  <si>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</si>
  <si>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</si>
  <si>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</si>
  <si>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</si>
  <si>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</si>
  <si>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</si>
  <si>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</si>
  <si>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</si>
  <si>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</si>
  <si>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</si>
  <si>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</si>
  <si>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</si>
  <si>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</si>
  <si>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</si>
  <si>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</si>
  <si>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</si>
  <si>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</si>
  <si>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</si>
  <si>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</si>
  <si>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</si>
  <si>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</si>
  <si>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</si>
  <si>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</si>
  <si>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</si>
  <si>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</si>
  <si>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</si>
  <si>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</si>
  <si>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</si>
  <si>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</si>
  <si>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</si>
  <si>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</si>
  <si>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</si>
  <si>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</si>
  <si>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</si>
  <si>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</si>
  <si>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</si>
  <si>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</si>
  <si>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</si>
  <si>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</si>
  <si>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</si>
  <si>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</si>
  <si>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</si>
  <si>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</si>
  <si>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</si>
  <si>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</si>
  <si>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</si>
  <si>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</si>
  <si>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</si>
  <si>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</si>
  <si>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</si>
  <si>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</si>
  <si>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</si>
  <si>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</si>
  <si>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</si>
  <si>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</si>
  <si>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</si>
  <si>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</si>
  <si>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</si>
  <si>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</si>
  <si>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</si>
  <si>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</si>
  <si>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</si>
  <si>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</si>
  <si>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</si>
  <si>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</si>
  <si>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</si>
  <si>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</si>
  <si>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</si>
  <si>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</si>
  <si>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</si>
  <si>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</si>
  <si>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</si>
  <si>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</si>
  <si>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</si>
  <si>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</si>
  <si>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</si>
  <si>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</si>
  <si>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</si>
  <si>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</si>
  <si>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</si>
  <si>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</si>
  <si>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</si>
  <si>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</si>
  <si>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</si>
  <si>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</si>
  <si>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</si>
  <si>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</si>
  <si>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</si>
  <si>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</si>
  <si>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</si>
  <si>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</si>
  <si>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</si>
  <si>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</si>
  <si>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</si>
  <si>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</si>
  <si>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</si>
  <si>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</si>
  <si>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</si>
  <si>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</si>
  <si>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</si>
  <si>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</si>
  <si>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</si>
  <si>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</si>
  <si>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</si>
  <si>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</si>
  <si>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</si>
  <si>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</si>
  <si>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</si>
  <si>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</si>
  <si>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</si>
  <si>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</si>
  <si>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</si>
  <si>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</si>
  <si>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</si>
  <si>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</si>
  <si>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</si>
  <si>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</si>
  <si>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</si>
  <si>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</si>
  <si>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</si>
  <si>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</si>
  <si>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</si>
  <si>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</si>
  <si>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</si>
  <si>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</si>
  <si>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</si>
  <si>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</si>
  <si>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</si>
  <si>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</si>
  <si>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</si>
  <si>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</si>
  <si>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</si>
  <si>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</si>
  <si>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</si>
  <si>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</si>
  <si>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</si>
  <si>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</si>
  <si>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</si>
  <si>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</si>
  <si>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</si>
  <si>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</si>
  <si>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</si>
  <si>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</si>
  <si>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</si>
  <si>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</si>
  <si>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</si>
  <si>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</si>
  <si>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</si>
  <si>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</si>
  <si>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</si>
  <si>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</si>
  <si>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</si>
  <si>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</si>
  <si>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</si>
  <si>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</si>
  <si>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</si>
  <si>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</si>
  <si>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</si>
  <si>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</si>
  <si>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</si>
  <si>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</si>
  <si>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</si>
  <si>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</si>
  <si>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</si>
  <si>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</si>
  <si>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</si>
  <si>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</si>
  <si>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</si>
  <si>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</si>
  <si>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</si>
  <si>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</si>
  <si>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</si>
  <si>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</si>
  <si>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</si>
  <si>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</si>
  <si>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</si>
  <si>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</si>
  <si>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</si>
  <si>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</si>
  <si>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</si>
  <si>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</si>
  <si>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</si>
  <si>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</si>
  <si>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</si>
  <si>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</si>
  <si>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</si>
  <si>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</si>
  <si>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</si>
  <si>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</si>
  <si>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</si>
  <si>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</si>
  <si>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</si>
  <si>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</si>
  <si>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</si>
  <si>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</si>
  <si>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</si>
  <si>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</si>
  <si>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</si>
  <si>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</si>
  <si>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</si>
  <si>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</si>
  <si>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</si>
  <si>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</si>
  <si>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</si>
  <si>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</si>
  <si>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</si>
  <si>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</si>
  <si>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</si>
  <si>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</si>
  <si>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</si>
  <si>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</si>
  <si>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</si>
  <si>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</si>
  <si>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</si>
  <si>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</si>
  <si>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</si>
  <si>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</si>
  <si>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</si>
  <si>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</si>
  <si>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</si>
  <si>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</si>
  <si>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</si>
  <si>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</si>
  <si>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</si>
  <si>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</si>
  <si>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</si>
  <si>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</si>
  <si>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</si>
  <si>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</si>
  <si>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</si>
  <si>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</si>
  <si>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</si>
  <si>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</si>
  <si>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</si>
  <si>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</si>
  <si>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</si>
  <si>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</si>
  <si>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</si>
  <si>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</si>
  <si>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</si>
  <si>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</si>
  <si>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</si>
  <si>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</si>
  <si>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</si>
  <si>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</si>
  <si>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</si>
  <si>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</si>
  <si>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</si>
  <si>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</si>
  <si>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</si>
  <si>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</si>
  <si>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</si>
  <si>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</si>
  <si>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</si>
  <si>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</si>
  <si>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</si>
  <si>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</si>
  <si>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</si>
  <si>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</si>
  <si>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</si>
  <si>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</si>
  <si>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</si>
  <si>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</si>
  <si>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</si>
  <si>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</si>
  <si>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</si>
  <si>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</si>
  <si>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</si>
  <si>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</si>
  <si>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</si>
  <si>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</si>
  <si>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</si>
  <si>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</si>
  <si>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</si>
  <si>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</si>
  <si>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</si>
  <si>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</si>
  <si>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</si>
  <si>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</si>
  <si>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</si>
  <si>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</si>
  <si>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</si>
  <si>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</si>
  <si>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</si>
  <si>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</si>
  <si>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</si>
  <si>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</si>
  <si>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</si>
  <si>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</si>
  <si>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</si>
  <si>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</si>
  <si>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</si>
  <si>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</si>
  <si>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</si>
  <si>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</si>
  <si>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</si>
  <si>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</si>
  <si>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</si>
  <si>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</si>
  <si>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</si>
  <si>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</si>
  <si>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</si>
  <si>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</si>
  <si>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</si>
  <si>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</si>
  <si>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</si>
  <si>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</si>
  <si>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</si>
  <si>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</si>
  <si>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</si>
  <si>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</si>
  <si>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</si>
  <si>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</si>
  <si>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</si>
  <si>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</si>
  <si>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</si>
  <si>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</si>
  <si>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</si>
  <si>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</si>
  <si>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</si>
  <si>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</si>
  <si>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</si>
  <si>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</si>
  <si>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</si>
  <si>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</si>
  <si>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</si>
  <si>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</si>
  <si>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</si>
  <si>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</si>
  <si>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</si>
  <si>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</si>
  <si>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</si>
  <si>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</si>
  <si>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</si>
  <si>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</si>
  <si>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</si>
  <si>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</si>
  <si>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</si>
  <si>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</si>
  <si>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</si>
  <si>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</si>
  <si>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</si>
  <si>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</si>
  <si>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</si>
  <si>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</si>
  <si>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</si>
  <si>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</si>
  <si>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</si>
  <si>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</si>
  <si>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</si>
  <si>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</si>
  <si>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</si>
  <si>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</si>
  <si>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</si>
  <si>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</si>
  <si>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</si>
  <si>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</si>
  <si>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</si>
  <si>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</si>
  <si>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</si>
  <si>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</si>
  <si>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</si>
  <si>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</si>
  <si>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</si>
  <si>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</si>
  <si>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</si>
  <si>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</si>
  <si>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</si>
  <si>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</si>
  <si>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</si>
  <si>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</si>
  <si>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</si>
  <si>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</si>
  <si>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</si>
  <si>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</si>
  <si>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</si>
  <si>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</si>
  <si>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</si>
  <si>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</si>
  <si>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</si>
  <si>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</si>
  <si>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</si>
  <si>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</si>
  <si>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</si>
  <si>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</si>
  <si>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</si>
  <si>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</si>
  <si>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</si>
  <si>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</si>
  <si>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</si>
  <si>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</si>
  <si>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</si>
  <si>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</si>
  <si>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</si>
  <si>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</si>
  <si>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</si>
  <si>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</si>
  <si>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</si>
  <si>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</si>
  <si>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</si>
  <si>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</si>
  <si>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</si>
  <si>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</si>
  <si>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</si>
  <si>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</si>
  <si>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</si>
  <si>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</si>
  <si>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</si>
  <si>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</si>
  <si>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</si>
  <si>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</si>
  <si>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</si>
  <si>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</si>
  <si>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</si>
  <si>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</si>
  <si>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</si>
  <si>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</si>
  <si>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</si>
  <si>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</si>
  <si>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</si>
  <si>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</si>
  <si>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</si>
  <si>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</si>
  <si>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</si>
  <si>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</si>
  <si>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</si>
  <si>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</si>
  <si>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</si>
  <si>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</si>
  <si>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</si>
  <si>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</si>
  <si>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</si>
  <si>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</si>
  <si>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</si>
  <si>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</si>
  <si>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</si>
  <si>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</si>
  <si>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</si>
  <si>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</si>
  <si>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</si>
  <si>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</si>
  <si>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</si>
  <si>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</si>
  <si>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</si>
  <si>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</si>
  <si>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</si>
  <si>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</si>
  <si>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</si>
  <si>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</si>
  <si>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</si>
  <si>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</si>
  <si>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</si>
  <si>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</si>
  <si>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</si>
  <si>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</si>
  <si>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</si>
  <si>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</si>
  <si>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</si>
  <si>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</si>
  <si>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</si>
  <si>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</si>
  <si>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</si>
  <si>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</si>
  <si>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</si>
  <si>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</si>
  <si>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</si>
  <si>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</si>
  <si>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</si>
  <si>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</si>
  <si>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</si>
  <si>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</si>
  <si>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</si>
  <si>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</si>
  <si>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</si>
  <si>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</si>
  <si>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</si>
  <si>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</si>
  <si>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</si>
  <si>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</si>
  <si>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</si>
  <si>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</si>
  <si>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</si>
  <si>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</si>
  <si>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</si>
  <si>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</si>
  <si>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</si>
  <si>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</si>
  <si>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</si>
  <si>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</si>
  <si>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</si>
  <si>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</si>
  <si>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</si>
  <si>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</si>
  <si>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</si>
  <si>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</si>
  <si>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</si>
  <si>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</si>
  <si>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</si>
  <si>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</si>
  <si>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</si>
  <si>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</si>
  <si>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</si>
  <si>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</si>
  <si>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</si>
  <si>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</si>
  <si>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</si>
  <si>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</si>
  <si>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</si>
  <si>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</si>
  <si>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</si>
  <si>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</si>
  <si>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</si>
  <si>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</si>
  <si>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</si>
  <si>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</si>
  <si>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</si>
  <si>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</si>
  <si>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</si>
  <si>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</si>
  <si>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</si>
  <si>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</si>
  <si>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</si>
  <si>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</si>
  <si>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</si>
  <si>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</si>
  <si>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</si>
  <si>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</si>
  <si>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</si>
  <si>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</si>
  <si>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</si>
  <si>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</si>
  <si>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</si>
  <si>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</si>
  <si>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</si>
  <si>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</si>
  <si>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</si>
  <si>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</si>
  <si>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</si>
  <si>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</si>
  <si>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</si>
  <si>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</si>
  <si>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</si>
  <si>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</si>
  <si>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</si>
  <si>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</si>
  <si>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</si>
  <si>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</si>
  <si>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</si>
  <si>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</si>
  <si>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</si>
  <si>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</si>
  <si>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</si>
  <si>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</si>
  <si>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</si>
  <si>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</si>
  <si>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</si>
  <si>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</si>
  <si>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</si>
  <si>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</si>
  <si>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</si>
  <si>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</si>
  <si>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</si>
  <si>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</si>
  <si>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</si>
  <si>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</si>
  <si>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</si>
  <si>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</si>
  <si>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</si>
  <si>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</si>
  <si>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</si>
  <si>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</si>
  <si>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</si>
  <si>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</si>
  <si>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</si>
  <si>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</si>
  <si>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</si>
  <si>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</si>
  <si>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</si>
  <si>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</si>
  <si>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</si>
  <si>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</si>
  <si>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</si>
  <si>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</si>
  <si>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</si>
  <si>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</si>
  <si>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</si>
  <si>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</si>
  <si>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</si>
  <si>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</si>
  <si>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</si>
  <si>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</si>
  <si>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</si>
  <si>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</si>
  <si>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</si>
  <si>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</si>
  <si>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</si>
  <si>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</si>
  <si>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</si>
  <si>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</si>
  <si>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</si>
  <si>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</si>
  <si>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</si>
  <si>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</si>
  <si>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</si>
  <si>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</si>
  <si>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</si>
  <si>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</si>
  <si>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</si>
  <si>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</si>
  <si>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</si>
  <si>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</si>
  <si>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</si>
  <si>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</si>
  <si>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</si>
  <si>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</si>
  <si>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</si>
  <si>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</si>
  <si>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</si>
  <si>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</si>
  <si>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</si>
  <si>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</si>
  <si>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</si>
  <si>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</si>
  <si>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</si>
  <si>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</si>
  <si>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</si>
  <si>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</si>
  <si>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</si>
  <si>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</si>
  <si>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</si>
  <si>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</si>
  <si>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</si>
  <si>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</si>
  <si>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</si>
  <si>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</si>
  <si>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</si>
  <si>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</si>
  <si>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</si>
  <si>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</si>
  <si>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</si>
  <si>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</si>
  <si>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</si>
  <si>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</si>
  <si>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</si>
  <si>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</si>
  <si>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</si>
  <si>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</si>
  <si>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</si>
  <si>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</si>
  <si>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</si>
  <si>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</si>
  <si>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</si>
  <si>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</si>
  <si>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</si>
  <si>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</si>
  <si>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</si>
  <si>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</si>
  <si>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</si>
  <si>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</si>
  <si>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</si>
  <si>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</si>
  <si>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</si>
  <si>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</si>
  <si>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</si>
  <si>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</si>
  <si>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</si>
  <si>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</si>
  <si>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</si>
  <si>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</si>
  <si>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</si>
  <si>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</si>
  <si>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</si>
  <si>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</si>
  <si>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</si>
  <si>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</si>
  <si>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</si>
  <si>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</si>
  <si>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</si>
  <si>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</si>
  <si>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</si>
  <si>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</si>
  <si>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</si>
  <si>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</si>
  <si>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</si>
  <si>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</si>
  <si>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</si>
  <si>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</si>
  <si>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</si>
  <si>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</si>
  <si>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</si>
  <si>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</si>
  <si>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</si>
  <si>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</si>
  <si>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</si>
  <si>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</si>
  <si>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</si>
  <si>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</si>
  <si>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</si>
  <si>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</si>
  <si>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</si>
  <si>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</si>
  <si>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</si>
  <si>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</si>
  <si>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</si>
  <si>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</si>
  <si>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</si>
  <si>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</si>
  <si>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</si>
  <si>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</si>
  <si>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</si>
  <si>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</si>
  <si>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</si>
  <si>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</si>
  <si>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</si>
  <si>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</si>
  <si>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</si>
  <si>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</si>
  <si>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</si>
  <si>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</si>
  <si>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</si>
  <si>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</si>
  <si>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</si>
  <si>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</si>
  <si>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</si>
  <si>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</si>
  <si>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</si>
  <si>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</si>
  <si>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</si>
  <si>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</si>
  <si>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</si>
  <si>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</si>
  <si>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</si>
  <si>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</si>
  <si>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</si>
  <si>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</si>
  <si>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</si>
  <si>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</si>
  <si>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</si>
  <si>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</si>
  <si>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</si>
  <si>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</si>
  <si>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</si>
  <si>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</si>
  <si>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</si>
  <si>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</si>
  <si>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</si>
  <si>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</si>
  <si>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</si>
  <si>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</si>
  <si>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</si>
  <si>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</si>
  <si>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</si>
  <si>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</si>
  <si>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</si>
  <si>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</si>
  <si>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</si>
  <si>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</si>
  <si>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</si>
  <si>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</si>
  <si>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</si>
  <si>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</si>
  <si>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</si>
  <si>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</si>
  <si>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</si>
  <si>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</si>
  <si>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</si>
  <si>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</si>
  <si>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</si>
  <si>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</si>
  <si>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</si>
  <si>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</si>
  <si>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</si>
  <si>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</si>
  <si>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</si>
  <si>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</si>
  <si>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</si>
  <si>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</si>
  <si>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</si>
  <si>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</si>
  <si>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</si>
  <si>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</si>
  <si>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</si>
  <si>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</si>
  <si>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</si>
  <si>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</si>
  <si>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</si>
  <si>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</si>
  <si>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</si>
  <si>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</si>
  <si>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</si>
  <si>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</si>
  <si>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</si>
  <si>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</si>
  <si>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</si>
  <si>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</si>
  <si>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</si>
  <si>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</si>
  <si>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</si>
  <si>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</si>
  <si>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</si>
  <si>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</si>
  <si>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</si>
  <si>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</si>
  <si>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</si>
  <si>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</si>
  <si>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</si>
  <si>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</si>
  <si>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</si>
  <si>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</si>
  <si>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</si>
  <si>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</si>
  <si>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</si>
  <si>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</si>
  <si>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</si>
  <si>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</si>
  <si>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</si>
  <si>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</si>
  <si>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</si>
  <si>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</si>
  <si>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</si>
  <si>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</si>
  <si>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</si>
  <si>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</si>
  <si>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</si>
  <si>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</si>
  <si>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</si>
  <si>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</si>
  <si>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</si>
  <si>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</si>
  <si>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</si>
  <si>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</si>
  <si>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</si>
  <si>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</si>
  <si>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</si>
  <si>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</si>
  <si>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</si>
  <si>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</si>
  <si>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</si>
  <si>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</si>
  <si>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</si>
  <si>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</si>
  <si>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</si>
  <si>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</si>
  <si>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</si>
  <si>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</si>
  <si>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</si>
  <si>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</si>
  <si>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</si>
  <si>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</si>
  <si>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</si>
  <si>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</si>
  <si>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</si>
  <si>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</si>
  <si>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</si>
  <si>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</si>
  <si>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</si>
  <si>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</si>
  <si>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</si>
  <si>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</si>
  <si>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</si>
  <si>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</si>
  <si>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</si>
  <si>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</si>
  <si>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</si>
  <si>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</si>
  <si>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</si>
  <si>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</si>
  <si>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</si>
  <si>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</si>
  <si>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</si>
  <si>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</si>
  <si>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</si>
  <si>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</si>
  <si>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</si>
  <si>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</si>
  <si>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</si>
  <si>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</si>
  <si>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</si>
  <si>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</si>
  <si>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</si>
  <si>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</si>
  <si>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</si>
  <si>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</si>
  <si>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</si>
  <si>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</si>
  <si>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</si>
  <si>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</si>
  <si>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</si>
  <si>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</si>
  <si>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</si>
  <si>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</si>
  <si>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</si>
  <si>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</si>
  <si>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</si>
  <si>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</si>
  <si>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</si>
  <si>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</si>
  <si>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</si>
  <si>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</si>
  <si>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</si>
  <si>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</si>
  <si>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</si>
  <si>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</si>
  <si>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</si>
  <si>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</si>
  <si>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</si>
  <si>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</si>
  <si>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</si>
  <si>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</si>
  <si>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</si>
  <si>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</si>
  <si>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</si>
  <si>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</si>
  <si>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</si>
  <si>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</si>
  <si>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</si>
  <si>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</si>
  <si>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</si>
  <si>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</si>
  <si>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</si>
  <si>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</si>
  <si>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</si>
  <si>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</si>
  <si>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</si>
  <si>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</si>
  <si>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</si>
  <si>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</si>
  <si>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</si>
  <si>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</si>
  <si>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</si>
  <si>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</si>
  <si>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</si>
  <si>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</si>
  <si>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</si>
  <si>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</si>
  <si>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</si>
  <si>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</si>
  <si>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</si>
  <si>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</si>
  <si>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</si>
  <si>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</si>
  <si>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</si>
  <si>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</si>
  <si>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</si>
  <si>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</si>
  <si>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</si>
  <si>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</si>
  <si>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</si>
  <si>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</si>
  <si>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</si>
  <si>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</si>
  <si>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</si>
  <si>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</si>
  <si>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</si>
  <si>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</si>
  <si>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</si>
  <si>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</si>
  <si>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</si>
  <si>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</si>
  <si>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</si>
  <si>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</si>
  <si>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</si>
  <si>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</si>
  <si>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</si>
  <si>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</si>
  <si>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</si>
  <si>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</si>
  <si>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</si>
  <si>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</si>
  <si>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</si>
  <si>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</si>
  <si>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</si>
  <si>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</si>
  <si>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</si>
  <si>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</si>
  <si>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</si>
  <si>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</si>
  <si>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</si>
  <si>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</si>
  <si>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</si>
  <si>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</si>
  <si>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</si>
  <si>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</si>
  <si>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</si>
  <si>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</si>
  <si>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</si>
  <si>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</si>
  <si>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</si>
  <si>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</si>
  <si>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</si>
  <si>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</si>
  <si>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</si>
  <si>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</si>
  <si>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</si>
  <si>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</si>
  <si>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</si>
  <si>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</si>
  <si>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</si>
  <si>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</si>
  <si>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</si>
  <si>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</si>
  <si>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</si>
  <si>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</si>
  <si>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</si>
  <si>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</si>
  <si>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</si>
  <si>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</si>
  <si>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</si>
  <si>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</si>
  <si>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</si>
  <si>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</si>
  <si>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</si>
  <si>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</si>
  <si>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</si>
  <si>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</si>
  <si>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</si>
  <si>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</si>
  <si>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</si>
  <si>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</si>
  <si>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</si>
  <si>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</si>
  <si>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</si>
  <si>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</si>
  <si>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</si>
  <si>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</si>
  <si>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</si>
  <si>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</si>
  <si>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</si>
  <si>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</si>
  <si>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</si>
  <si>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</si>
  <si>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</si>
  <si>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</si>
  <si>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</si>
  <si>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</si>
  <si>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</si>
  <si>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</si>
  <si>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</si>
  <si>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</si>
  <si>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</si>
  <si>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</si>
  <si>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</si>
  <si>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</si>
  <si>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</si>
  <si>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</si>
  <si>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</si>
  <si>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</si>
  <si>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</si>
  <si>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</si>
  <si>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</si>
  <si>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</si>
  <si>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</si>
  <si>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</si>
  <si>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</si>
  <si>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</si>
  <si>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</si>
  <si>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</si>
  <si>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</si>
  <si>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</si>
  <si>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</si>
  <si>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</si>
  <si>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</si>
  <si>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</si>
  <si>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</si>
  <si>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</si>
  <si>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</si>
  <si>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</si>
  <si>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</si>
  <si>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</si>
  <si>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</si>
  <si>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</si>
  <si>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</si>
  <si>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</si>
  <si>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</si>
  <si>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</si>
  <si>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</si>
  <si>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</si>
  <si>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</si>
  <si>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</si>
  <si>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</si>
  <si>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</si>
  <si>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</si>
  <si>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</si>
  <si>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</si>
  <si>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</si>
  <si>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</si>
  <si>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</si>
  <si>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</si>
  <si>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</si>
  <si>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</si>
  <si>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</si>
  <si>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</si>
  <si>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</si>
  <si>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</si>
  <si>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</si>
  <si>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</si>
  <si>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</si>
  <si>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</si>
  <si>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</si>
  <si>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</si>
  <si>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</si>
  <si>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</si>
  <si>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</si>
  <si>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</si>
  <si>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</si>
  <si>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</si>
  <si>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</si>
  <si>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</si>
  <si>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</si>
  <si>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</si>
  <si>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</si>
  <si>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</si>
  <si>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</si>
  <si>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</si>
  <si>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</si>
  <si>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</si>
  <si>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</si>
  <si>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</si>
  <si>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</si>
  <si>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</si>
  <si>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</si>
  <si>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</si>
  <si>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</si>
  <si>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</si>
  <si>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</si>
  <si>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</si>
  <si>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</si>
  <si>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</si>
  <si>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</si>
  <si>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</si>
  <si>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</si>
  <si>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</si>
  <si>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</si>
  <si>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</si>
  <si>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</si>
  <si>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</si>
  <si>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</si>
  <si>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</si>
  <si>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</si>
  <si>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</si>
  <si>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</si>
  <si>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</si>
  <si>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</si>
  <si>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</si>
  <si>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</si>
  <si>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</si>
  <si>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</si>
  <si>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</si>
  <si>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</si>
  <si>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</si>
  <si>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</si>
  <si>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</si>
  <si>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</si>
  <si>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</si>
  <si>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</si>
  <si>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</si>
  <si>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</si>
  <si>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</si>
  <si>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</si>
  <si>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</si>
  <si>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</si>
  <si>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</si>
  <si>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</si>
  <si>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</si>
  <si>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</si>
  <si>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</si>
  <si>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</si>
  <si>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</si>
  <si>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</si>
  <si>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</si>
  <si>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</si>
  <si>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</si>
  <si>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</si>
  <si>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</si>
  <si>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</si>
  <si>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</si>
  <si>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</si>
  <si>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</si>
  <si>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</si>
  <si>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</si>
  <si>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</si>
  <si>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</si>
  <si>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</si>
  <si>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</si>
  <si>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</si>
  <si>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</si>
  <si>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</si>
  <si>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</si>
  <si>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</si>
  <si>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</si>
  <si>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</si>
  <si>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</si>
  <si>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</si>
  <si>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</si>
  <si>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</si>
  <si>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</si>
  <si>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</si>
  <si>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</si>
  <si>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</si>
  <si>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</si>
  <si>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</si>
  <si>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</si>
  <si>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</si>
  <si>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</si>
  <si>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</si>
  <si>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</si>
  <si>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</si>
  <si>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</si>
  <si>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</si>
  <si>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</si>
  <si>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</si>
  <si>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</si>
  <si>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</si>
  <si>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</si>
  <si>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</si>
  <si>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</si>
  <si>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</si>
  <si>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</si>
  <si>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</si>
  <si>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</si>
  <si>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</si>
  <si>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</si>
  <si>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</si>
  <si>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</si>
  <si>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</si>
  <si>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</si>
  <si>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</si>
  <si>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</si>
  <si>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</si>
  <si>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</si>
  <si>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</si>
  <si>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</si>
  <si>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</si>
  <si>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</si>
  <si>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</si>
  <si>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</si>
  <si>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</si>
  <si>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</si>
  <si>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</si>
  <si>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</si>
  <si>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</si>
  <si>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</si>
  <si>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</si>
  <si>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</si>
  <si>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</si>
  <si>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</si>
  <si>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</si>
  <si>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</si>
  <si>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</si>
  <si>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</si>
  <si>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</si>
  <si>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</si>
  <si>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</si>
  <si>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</si>
  <si>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</si>
  <si>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</si>
  <si>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</si>
  <si>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</si>
  <si>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</si>
  <si>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</si>
  <si>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</si>
  <si>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</si>
  <si>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</si>
  <si>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</si>
  <si>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</si>
  <si>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</si>
  <si>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</si>
  <si>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</si>
  <si>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</si>
  <si>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</si>
  <si>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</si>
  <si>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</si>
  <si>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</si>
  <si>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</si>
  <si>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</si>
  <si>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</si>
  <si>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</si>
  <si>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</si>
  <si>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</si>
  <si>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</si>
  <si>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</si>
  <si>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</si>
  <si>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</si>
  <si>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</si>
  <si>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</si>
  <si>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</si>
  <si>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</si>
  <si>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</si>
  <si>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</si>
  <si>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</si>
  <si>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</si>
  <si>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</si>
  <si>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</si>
  <si>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</si>
  <si>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</si>
  <si>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</si>
  <si>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</si>
  <si>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</si>
  <si>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</si>
  <si>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</si>
  <si>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</si>
  <si>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</si>
  <si>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</si>
  <si>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</si>
  <si>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</si>
  <si>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</si>
  <si>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</si>
  <si>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</si>
  <si>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</si>
  <si>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</si>
  <si>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</si>
  <si>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</si>
  <si>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</si>
  <si>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</si>
  <si>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</si>
  <si>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</si>
  <si>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</si>
  <si>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</si>
  <si>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</si>
  <si>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</si>
  <si>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</si>
  <si>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</si>
  <si>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</si>
  <si>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</si>
  <si>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</si>
  <si>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</si>
  <si>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</si>
  <si>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</si>
  <si>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</si>
  <si>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</si>
  <si>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</si>
  <si>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</si>
  <si>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</si>
  <si>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</si>
  <si>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</si>
  <si>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</si>
  <si>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</si>
  <si>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</si>
  <si>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</si>
  <si>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</si>
  <si>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</si>
  <si>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</si>
  <si>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</si>
  <si>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</si>
  <si>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</si>
  <si>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</si>
  <si>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</si>
  <si>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</si>
  <si>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</si>
  <si>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</si>
  <si>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</si>
  <si>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</si>
  <si>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</si>
  <si>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</si>
  <si>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</si>
  <si>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</si>
  <si>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</si>
  <si>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</si>
  <si>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</si>
  <si>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</si>
  <si>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</si>
  <si>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</si>
  <si>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</si>
  <si>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</si>
  <si>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</si>
  <si>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</si>
  <si>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</si>
  <si>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</si>
  <si>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</si>
  <si>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</si>
  <si>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</si>
  <si>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</si>
  <si>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</si>
  <si>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</si>
  <si>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</si>
  <si>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</si>
  <si>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</si>
  <si>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</si>
  <si>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</si>
  <si>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</si>
  <si>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</si>
  <si>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</si>
  <si>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</si>
  <si>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</si>
  <si>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</si>
  <si>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</si>
  <si>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</si>
  <si>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</si>
  <si>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</si>
  <si>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</si>
  <si>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</si>
  <si>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</si>
  <si>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</si>
  <si>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</si>
  <si>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</si>
  <si>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</si>
  <si>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</si>
  <si>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</si>
  <si>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</si>
  <si>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</si>
  <si>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</si>
  <si>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</si>
  <si>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</si>
  <si>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</si>
  <si>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</si>
  <si>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</si>
  <si>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</si>
  <si>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</si>
  <si>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</si>
  <si>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</si>
  <si>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</si>
  <si>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</si>
  <si>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</si>
  <si>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</si>
  <si>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</si>
  <si>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</si>
  <si>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</si>
  <si>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</si>
  <si>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</si>
  <si>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</si>
  <si>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</si>
  <si>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</si>
  <si>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</si>
  <si>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</si>
  <si>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</si>
  <si>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</si>
  <si>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</si>
  <si>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</si>
  <si>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</si>
  <si>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</si>
  <si>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</si>
  <si>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</si>
  <si>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</si>
  <si>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</si>
  <si>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</si>
  <si>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</si>
  <si>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</si>
  <si>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</si>
  <si>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</si>
  <si>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</si>
  <si>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</si>
  <si>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</si>
  <si>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</si>
  <si>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</si>
  <si>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</si>
  <si>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</si>
  <si>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</si>
  <si>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</si>
  <si>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</si>
  <si>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</si>
  <si>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</si>
  <si>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</si>
  <si>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</si>
  <si>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</si>
  <si>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</si>
  <si>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</si>
  <si>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</si>
  <si>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</si>
  <si>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</si>
  <si>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</si>
  <si>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</si>
  <si>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</si>
  <si>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</si>
  <si>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</si>
  <si>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</si>
  <si>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</si>
  <si>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</si>
  <si>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</si>
  <si>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</si>
  <si>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</si>
  <si>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</si>
  <si>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</si>
  <si>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</si>
  <si>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</si>
  <si>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</si>
  <si>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</si>
  <si>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</si>
  <si>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</si>
  <si>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</si>
  <si>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</si>
  <si>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</si>
  <si>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</si>
  <si>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</si>
  <si>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</si>
  <si>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</si>
  <si>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</si>
  <si>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</si>
  <si>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</si>
  <si>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</si>
  <si>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</si>
  <si>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</si>
  <si>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</si>
  <si>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</si>
  <si>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</si>
  <si>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</si>
  <si>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</si>
  <si>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</si>
  <si>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</si>
  <si>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</si>
  <si>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</si>
  <si>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</si>
  <si>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</si>
  <si>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</si>
  <si>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</si>
  <si>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</si>
  <si>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</si>
  <si>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</si>
  <si>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</si>
  <si>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</si>
  <si>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</si>
  <si>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</si>
  <si>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</si>
  <si>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</si>
  <si>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</si>
  <si>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</si>
  <si>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</si>
  <si>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</si>
  <si>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</si>
  <si>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</si>
  <si>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</si>
  <si>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</si>
  <si>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</si>
  <si>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</si>
  <si>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</si>
  <si>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</si>
  <si>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</si>
  <si>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</si>
  <si>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</si>
  <si>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</si>
  <si>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</si>
  <si>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</si>
  <si>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</si>
  <si>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</si>
  <si>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</si>
  <si>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</si>
  <si>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</si>
  <si>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</si>
  <si>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</si>
  <si>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</si>
  <si>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</si>
  <si>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</si>
  <si>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</si>
  <si>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</si>
  <si>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</si>
  <si>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TRAVO</t>
  </si>
  <si>
    <t xml:space="preserve">TRAVO A VENTISERI</t>
  </si>
  <si>
    <t xml:space="preserve">06222195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</si>
  <si>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</si>
  <si>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</si>
  <si>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</si>
  <si>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</si>
  <si>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</si>
  <si>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</si>
  <si>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</si>
  <si>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</si>
  <si>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rapide</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</si>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</sst>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42919</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13.6875</v>
      </c>
      <c r="N5" s="327"/>
      <c r="O5" s="328" t="s">
        <v>158</v>
      </c>
      <c r="P5" s="329" t="n">
        <v>12.6923076923077</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65</v>
      </c>
      <c r="C7" s="345" t="n">
        <v>35</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12.7</v>
      </c>
      <c r="P8" s="359" t="n">
        <f aca="false">IF(ISERROR(AVERAGE(K23:K82)),"  ",AVERAGE(K23:K82))</f>
        <v>1.6</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2.72213151776324</v>
      </c>
      <c r="P9" s="359" t="n">
        <f aca="false">IF(ISERROR(STDEVP(K23:K82)),"  ",STDEVP(K23:K82))</f>
        <v>0.66332495807108</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9</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9</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13</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3</v>
      </c>
      <c r="M15" s="382"/>
      <c r="N15" s="390" t="s">
        <v>3418</v>
      </c>
      <c r="O15" s="391" t="n">
        <f aca="false">COUNTIF(K23:K82,"=1")</f>
        <v>5</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4</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0.769230769230769</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0.16</v>
      </c>
      <c r="C20" s="434" t="n">
        <f aca="false">SUM(C23:C82)</f>
        <v>0.14</v>
      </c>
      <c r="D20" s="435"/>
      <c r="E20" s="436" t="s">
        <v>3425</v>
      </c>
      <c r="F20" s="437" t="n">
        <f aca="false">($B20*$B$7+$C20*$C$7)/100</f>
        <v>0.153</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0.104</v>
      </c>
      <c r="C21" s="445" t="n">
        <f aca="false">C20*C7/100</f>
        <v>0.049</v>
      </c>
      <c r="D21" s="446" t="s">
        <v>3428</v>
      </c>
      <c r="E21" s="447"/>
      <c r="F21" s="448" t="n">
        <f aca="false">B21+C21</f>
        <v>0.153</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c r="C23" s="475" t="n">
        <v>0.02</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0.007</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0.007</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78</v>
      </c>
      <c r="B24" s="491" t="n">
        <v>0.01</v>
      </c>
      <c r="C24" s="492" t="n">
        <v>0.01</v>
      </c>
      <c r="D24" s="493" t="str">
        <f aca="false">IF(ISERROR(VLOOKUP($A24,'liste reference'!$A$6:$B$1174,2,0)),IF(ISERROR(VLOOKUP($A24,'liste reference'!$B$6:$B$1174,1,0)),"",VLOOKUP($A24,'liste reference'!$B$6:$B$1174,1,0)),VLOOKUP($A24,'liste reference'!$A$6:$B$1174,2,0))</f>
        <v>Chaetophora sp.</v>
      </c>
      <c r="E24" s="494" t="e">
        <f aca="false">IF(D24="",,VLOOKUP(D24,D$22:D23,1,0))</f>
        <v>#N/A</v>
      </c>
      <c r="F24" s="495" t="n">
        <f aca="false">IF(AND(OR(A24="",A24="!!!!!!"),B24="",C24=""),"",IF(OR(AND(B24="",C24=""),ISERROR(C24+B24)),"!!!",($B24*$B$7+$C24*$C$7)/100))</f>
        <v>0.01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12</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Chaetophora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1117</v>
      </c>
      <c r="R24" s="486" t="n">
        <f aca="false">IF(ISTEXT(H24),"",(B24*$B$7/100)+(C24*$C$7/100))</f>
        <v>0.01</v>
      </c>
      <c r="S24" s="487" t="n">
        <f aca="false">IF(OR(ISTEXT(H24),R24=0),"",IF(R24&lt;0.1,1,IF(R24&lt;1,2,IF(R24&lt;10,3,IF(R24&lt;50,4,IF(R24&gt;=50,5,""))))))</f>
        <v>1</v>
      </c>
      <c r="T24" s="487" t="n">
        <f aca="false">IF(ISERROR(S24*J24),0,S24*J24)</f>
        <v>12</v>
      </c>
      <c r="U24" s="487" t="n">
        <f aca="false">IF(ISERROR(S24*J24*K24),0,S24*J24*K24)</f>
        <v>24</v>
      </c>
      <c r="V24" s="502" t="n">
        <f aca="false">IF(ISERROR(S24*K24),0,S24*K24)</f>
        <v>2</v>
      </c>
      <c r="W24" s="503"/>
      <c r="X24" s="504"/>
      <c r="Y24" s="487" t="str">
        <f aca="false">IF(AND(ISNUMBER(F24),OR(A24="",A24="!!!!!!")),"!!!!!!",IF(A24="new.cod","NEWCOD",IF(AND((Z24=""),ISTEXT(A24),A24&lt;&gt;"!!!!!!"),A24,IF(Z24="","",INDEX('liste reference'!$A$6:$A$1174,Z24)))))</f>
        <v>CHESPX</v>
      </c>
      <c r="Z24" s="472" t="n">
        <f aca="false">IF(ISERROR(MATCH(A24,'liste reference'!$A$6:$A$1174,0)),IF(ISERROR(MATCH(A24,'liste reference'!$B$6:$B$1174,0)),"",(MATCH(A24,'liste reference'!$B$6:$B$1174,0))),(MATCH(A24,'liste reference'!$A$6:$A$1174,0)))</f>
        <v>14</v>
      </c>
    </row>
    <row r="25" customFormat="false" ht="12.75" hidden="false" customHeight="false" outlineLevel="0" collapsed="false">
      <c r="A25" s="490" t="s">
        <v>158</v>
      </c>
      <c r="B25" s="491"/>
      <c r="C25" s="492" t="n">
        <v>0.01</v>
      </c>
      <c r="D25" s="493" t="str">
        <f aca="false">IF(ISERROR(VLOOKUP($A25,'liste reference'!$A$6:$B$1174,2,0)),IF(ISERROR(VLOOKUP($A25,'liste reference'!$B$6:$B$1174,1,0)),"",VLOOKUP($A25,'liste reference'!$B$6:$B$1174,1,0)),VLOOKUP($A25,'liste reference'!$A$6:$B$1174,2,0))</f>
        <v>Draparnaldia sp.</v>
      </c>
      <c r="E25" s="494" t="e">
        <f aca="false">IF(D25="",,VLOOKUP(D25,D$22:D24,1,0))</f>
        <v>#N/A</v>
      </c>
      <c r="F25" s="495" t="n">
        <f aca="false">IF(AND(OR(A25="",A25="!!!!!!"),B25="",C25=""),"",IF(OR(AND(B25="",C25=""),ISERROR(C25+B25)),"!!!",($B25*$B$7+$C25*$C$7)/100))</f>
        <v>0.0035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18</v>
      </c>
      <c r="K25" s="498" t="n">
        <f aca="false">IF(ISNUMBER($H25),IF(ISERROR(VLOOKUP($A25,'liste reference'!$A$6:$Q$1174,7,0)),IF(ISERROR(VLOOKUP($A25,'liste reference'!$B$6:$Q$1174,6,0)),"nu",VLOOKUP($A25,'liste reference'!$B$6:$Q$1174,6,0)),VLOOKUP($A25,'liste reference'!$A$6:$Q$1174,7,0)),"nu")</f>
        <v>3</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Draparnaldia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1118</v>
      </c>
      <c r="R25" s="486" t="n">
        <f aca="false">IF(ISTEXT(H25),"",(B25*$B$7/100)+(C25*$C$7/100))</f>
        <v>0.0035</v>
      </c>
      <c r="S25" s="487" t="n">
        <f aca="false">IF(OR(ISTEXT(H25),R25=0),"",IF(R25&lt;0.1,1,IF(R25&lt;1,2,IF(R25&lt;10,3,IF(R25&lt;50,4,IF(R25&gt;=50,5,""))))))</f>
        <v>1</v>
      </c>
      <c r="T25" s="487" t="n">
        <f aca="false">IF(ISERROR(S25*J25),0,S25*J25)</f>
        <v>18</v>
      </c>
      <c r="U25" s="487" t="n">
        <f aca="false">IF(ISERROR(S25*J25*K25),0,S25*J25*K25)</f>
        <v>54</v>
      </c>
      <c r="V25" s="502" t="n">
        <f aca="false">IF(ISERROR(S25*K25),0,S25*K25)</f>
        <v>3</v>
      </c>
      <c r="W25" s="503"/>
      <c r="X25" s="504"/>
      <c r="Y25" s="487" t="str">
        <f aca="false">IF(AND(ISNUMBER(F25),OR(A25="",A25="!!!!!!")),"!!!!!!",IF(A25="new.cod","NEWCOD",IF(AND((Z25=""),ISTEXT(A25),A25&lt;&gt;"!!!!!!"),A25,IF(Z25="","",INDEX('liste reference'!$A$6:$A$1174,Z25)))))</f>
        <v>DRASPX</v>
      </c>
      <c r="Z25" s="472" t="n">
        <f aca="false">IF(ISERROR(MATCH(A25,'liste reference'!$A$6:$A$1174,0)),IF(ISERROR(MATCH(A25,'liste reference'!$B$6:$B$1174,0)),"",(MATCH(A25,'liste reference'!$B$6:$B$1174,0))),(MATCH(A25,'liste reference'!$A$6:$A$1174,0)))</f>
        <v>42</v>
      </c>
    </row>
    <row r="26" customFormat="false" ht="12.75" hidden="false" customHeight="false" outlineLevel="0" collapsed="false">
      <c r="A26" s="490" t="s">
        <v>217</v>
      </c>
      <c r="B26" s="491" t="n">
        <v>0.01</v>
      </c>
      <c r="C26" s="492" t="n">
        <v>0.01</v>
      </c>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0.01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0.01</v>
      </c>
      <c r="S26" s="487" t="n">
        <f aca="false">IF(OR(ISTEXT(H26),R26=0),"",IF(R26&lt;0.1,1,IF(R26&lt;1,2,IF(R26&lt;10,3,IF(R26&lt;50,4,IF(R26&gt;=50,5,""))))))</f>
        <v>1</v>
      </c>
      <c r="T26" s="487" t="n">
        <f aca="false">IF(ISERROR(S26*J26),0,S26*J26)</f>
        <v>15</v>
      </c>
      <c r="U26" s="487" t="n">
        <f aca="false">IF(ISERROR(S26*J26*K26),0,S26*J26*K26)</f>
        <v>30</v>
      </c>
      <c r="V26" s="502" t="n">
        <f aca="false">IF(ISERROR(S26*K26),0,S26*K26)</f>
        <v>2</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234</v>
      </c>
      <c r="B27" s="491" t="n">
        <v>0.01</v>
      </c>
      <c r="C27" s="492" t="n">
        <v>0.01</v>
      </c>
      <c r="D27" s="493" t="str">
        <f aca="false">IF(ISERROR(VLOOKUP($A27,'liste reference'!$A$6:$B$1174,2,0)),IF(ISERROR(VLOOKUP($A27,'liste reference'!$B$6:$B$1174,1,0)),"",VLOOKUP($A27,'liste reference'!$B$6:$B$1174,1,0)),VLOOKUP($A27,'liste reference'!$A$6:$B$1174,2,0))</f>
        <v>Microcoleus sp.</v>
      </c>
      <c r="E27" s="494" t="e">
        <f aca="false">IF(D27="",,VLOOKUP(D27,D$22:D26,1,0))</f>
        <v>#N/A</v>
      </c>
      <c r="F27" s="495" t="n">
        <f aca="false">IF(AND(OR(A27="",A27="!!!!!!"),B27="",C27=""),"",IF(OR(AND(B27="",C27=""),ISERROR(C27+B27)),"!!!",($B27*$B$7+$C27*$C$7)/100))</f>
        <v>0.01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6405</v>
      </c>
      <c r="R27" s="486" t="n">
        <f aca="false">IF(ISTEXT(H27),"",(B27*$B$7/100)+(C27*$C$7/100))</f>
        <v>0.01</v>
      </c>
      <c r="S27" s="487" t="n">
        <f aca="false">IF(OR(ISTEXT(H27),R27=0),"",IF(R27&lt;0.1,1,IF(R27&lt;1,2,IF(R27&lt;10,3,IF(R27&lt;50,4,IF(R27&gt;=50,5,""))))))</f>
        <v>1</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MIRSPX</v>
      </c>
      <c r="Z27" s="472" t="n">
        <f aca="false">IF(ISERROR(MATCH(A27,'liste reference'!$A$6:$A$1174,0)),IF(ISERROR(MATCH(A27,'liste reference'!$B$6:$B$1174,0)),"",(MATCH(A27,'liste reference'!$B$6:$B$1174,0))),(MATCH(A27,'liste reference'!$A$6:$A$1174,0)))</f>
        <v>64</v>
      </c>
    </row>
    <row r="28" customFormat="false" ht="12.75" hidden="false" customHeight="false" outlineLevel="0" collapsed="false">
      <c r="A28" s="490" t="s">
        <v>291</v>
      </c>
      <c r="B28" s="491" t="n">
        <v>0.03</v>
      </c>
      <c r="C28" s="492" t="n">
        <v>0.01</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0.023</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0.023</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309</v>
      </c>
      <c r="B29" s="491" t="n">
        <v>0.01</v>
      </c>
      <c r="C29" s="492" t="n">
        <v>0.01</v>
      </c>
      <c r="D29" s="493" t="str">
        <f aca="false">IF(ISERROR(VLOOKUP($A29,'liste reference'!$A$6:$B$1174,2,0)),IF(ISERROR(VLOOKUP($A29,'liste reference'!$B$6:$B$1174,1,0)),"",VLOOKUP($A29,'liste reference'!$B$6:$B$1174,1,0)),VLOOKUP($A29,'liste reference'!$A$6:$B$1174,2,0))</f>
        <v>Phormidium sp.</v>
      </c>
      <c r="E29" s="494" t="e">
        <f aca="false">IF(D29="",,VLOOKUP(D29,D$22:D28,1,0))</f>
        <v>#N/A</v>
      </c>
      <c r="F29" s="495" t="n">
        <f aca="false">IF(AND(OR(A29="",A29="!!!!!!"),B29="",C29=""),"",IF(OR(AND(B29="",C29=""),ISERROR(C29+B29)),"!!!",($B29*$B$7+$C29*$C$7)/100))</f>
        <v>0.01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6414</v>
      </c>
      <c r="R29" s="486" t="n">
        <f aca="false">IF(ISTEXT(H29),"",(B29*$B$7/100)+(C29*$C$7/100))</f>
        <v>0.01</v>
      </c>
      <c r="S29" s="487" t="n">
        <f aca="false">IF(OR(ISTEXT(H29),R29=0),"",IF(R29&lt;0.1,1,IF(R29&lt;1,2,IF(R29&lt;10,3,IF(R29&lt;50,4,IF(R29&gt;=50,5,""))))))</f>
        <v>1</v>
      </c>
      <c r="T29" s="487" t="n">
        <f aca="false">IF(ISERROR(S29*J29),0,S29*J29)</f>
        <v>13</v>
      </c>
      <c r="U29" s="487" t="n">
        <f aca="false">IF(ISERROR(S29*J29*K29),0,S29*J29*K29)</f>
        <v>26</v>
      </c>
      <c r="V29" s="502" t="n">
        <f aca="false">IF(ISERROR(S29*K29),0,S29*K29)</f>
        <v>2</v>
      </c>
      <c r="W29" s="503"/>
      <c r="X29" s="504"/>
      <c r="Y29" s="487" t="str">
        <f aca="false">IF(AND(ISNUMBER(F29),OR(A29="",A29="!!!!!!")),"!!!!!!",IF(A29="new.cod","NEWCOD",IF(AND((Z29=""),ISTEXT(A29),A29&lt;&gt;"!!!!!!"),A29,IF(Z29="","",INDEX('liste reference'!$A$6:$A$1174,Z29)))))</f>
        <v>PHOSPX</v>
      </c>
      <c r="Z29" s="472" t="n">
        <f aca="false">IF(ISERROR(MATCH(A29,'liste reference'!$A$6:$A$1174,0)),IF(ISERROR(MATCH(A29,'liste reference'!$B$6:$B$1174,0)),"",(MATCH(A29,'liste reference'!$B$6:$B$1174,0))),(MATCH(A29,'liste reference'!$A$6:$A$1174,0)))</f>
        <v>88</v>
      </c>
    </row>
    <row r="30" customFormat="false" ht="12.75" hidden="false" customHeight="false" outlineLevel="0" collapsed="false">
      <c r="A30" s="490" t="s">
        <v>343</v>
      </c>
      <c r="B30" s="491" t="n">
        <v>0.05</v>
      </c>
      <c r="C30" s="492" t="n">
        <v>0.03</v>
      </c>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0.043</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0.043</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355</v>
      </c>
      <c r="B31" s="491" t="n">
        <v>0.01</v>
      </c>
      <c r="C31" s="492"/>
      <c r="D31" s="493" t="str">
        <f aca="false">IF(ISERROR(VLOOKUP($A31,'liste reference'!$A$6:$B$1174,2,0)),IF(ISERROR(VLOOKUP($A31,'liste reference'!$B$6:$B$1174,1,0)),"",VLOOKUP($A31,'liste reference'!$B$6:$B$1174,1,0)),VLOOKUP($A31,'liste reference'!$A$6:$B$1174,2,0))</f>
        <v>Tetraspora sp.</v>
      </c>
      <c r="E31" s="494" t="e">
        <f aca="false">IF(D31="",,VLOOKUP(D31,D$22:D30,1,0))</f>
        <v>#N/A</v>
      </c>
      <c r="F31" s="495" t="n">
        <f aca="false">IF(AND(OR(A31="",A31="!!!!!!"),B31="",C31=""),"",IF(OR(AND(B31="",C31=""),ISERROR(C31+B31)),"!!!",($B31*$B$7+$C31*$C$7)/100))</f>
        <v>0.0065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12</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Tetraspora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1138</v>
      </c>
      <c r="R31" s="486" t="n">
        <f aca="false">IF(ISTEXT(H31),"",(B31*$B$7/100)+(C31*$C$7/100))</f>
        <v>0.0065</v>
      </c>
      <c r="S31" s="487" t="n">
        <f aca="false">IF(OR(ISTEXT(H31),R31=0),"",IF(R31&lt;0.1,1,IF(R31&lt;1,2,IF(R31&lt;10,3,IF(R31&lt;50,4,IF(R31&gt;=50,5,""))))))</f>
        <v>1</v>
      </c>
      <c r="T31" s="487" t="n">
        <f aca="false">IF(ISERROR(S31*J31),0,S31*J31)</f>
        <v>12</v>
      </c>
      <c r="U31" s="487" t="n">
        <f aca="false">IF(ISERROR(S31*J31*K31),0,S31*J31*K31)</f>
        <v>12</v>
      </c>
      <c r="V31" s="502" t="n">
        <f aca="false">IF(ISERROR(S31*K31),0,S31*K31)</f>
        <v>1</v>
      </c>
      <c r="W31" s="503"/>
      <c r="X31" s="504"/>
      <c r="Y31" s="487" t="str">
        <f aca="false">IF(AND(ISNUMBER(F31),OR(A31="",A31="!!!!!!")),"!!!!!!",IF(A31="new.cod","NEWCOD",IF(AND((Z31=""),ISTEXT(A31),A31&lt;&gt;"!!!!!!"),A31,IF(Z31="","",INDEX('liste reference'!$A$6:$A$1174,Z31)))))</f>
        <v>TETSPX</v>
      </c>
      <c r="Z31" s="472" t="n">
        <f aca="false">IF(ISERROR(MATCH(A31,'liste reference'!$A$6:$A$1174,0)),IF(ISERROR(MATCH(A31,'liste reference'!$B$6:$B$1174,0)),"",(MATCH(A31,'liste reference'!$B$6:$B$1174,0))),(MATCH(A31,'liste reference'!$A$6:$A$1174,0)))</f>
        <v>107</v>
      </c>
    </row>
    <row r="32" customFormat="false" ht="12.75" hidden="false" customHeight="false" outlineLevel="0" collapsed="false">
      <c r="A32" s="490" t="s">
        <v>1313</v>
      </c>
      <c r="B32" s="491" t="n">
        <v>0.01</v>
      </c>
      <c r="C32" s="492" t="n">
        <v>0.01</v>
      </c>
      <c r="D32" s="493" t="str">
        <f aca="false">IF(ISERROR(VLOOKUP($A32,'liste reference'!$A$6:$B$1174,2,0)),IF(ISERROR(VLOOKUP($A32,'liste reference'!$B$6:$B$1174,1,0)),"",VLOOKUP($A32,'liste reference'!$B$6:$B$1174,1,0)),VLOOKUP($A32,'liste reference'!$A$6:$B$1174,2,0))</f>
        <v>Osmunda regalis</v>
      </c>
      <c r="E32" s="494" t="e">
        <f aca="false">IF(D32="",,VLOOKUP(D32,D$22:D31,1,0))</f>
        <v>#N/A</v>
      </c>
      <c r="F32" s="495" t="n">
        <f aca="false">IF(AND(OR(A32="",A32="!!!!!!"),B32="",C32=""),"",IF(OR(AND(B32="",C32=""),ISERROR(C32+B32)),"!!!",($B32*$B$7+$C32*$C$7)/100))</f>
        <v>0.01</v>
      </c>
      <c r="G32" s="496" t="str">
        <f aca="false">IF(A32="","",IF(ISERROR(VLOOKUP($A32,'liste reference'!$A$6:$Q$1174,9,0)),IF(ISERROR(VLOOKUP($A32,'liste reference'!$B$6:$Q$1174,8,0)),"    -",VLOOKUP($A32,'liste reference'!$B$6:$Q$1174,8,0)),VLOOKUP($A32,'liste reference'!$A$6:$Q$1174,9,0)))</f>
        <v>PTE</v>
      </c>
      <c r="H32" s="497" t="n">
        <f aca="false">IF(A32="","x",IF(ISERROR(VLOOKUP($A32,'liste reference'!$A$6:$Q$1174,10,0)),IF(ISERROR(VLOOKUP($A32,'liste reference'!$B$6:$Q$1174,9,0)),"x",VLOOKUP($A32,'liste reference'!$B$6:$Q$1174,9,0)),VLOOKUP($A32,'liste reference'!$A$6:$Q$1174,10,0)))</f>
        <v>6</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Osmunda regalis</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1403</v>
      </c>
      <c r="R32" s="486" t="n">
        <f aca="false">IF(ISTEXT(H32),"",(B32*$B$7/100)+(C32*$C$7/100))</f>
        <v>0.01</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OSMREG</v>
      </c>
      <c r="Z32" s="472" t="n">
        <f aca="false">IF(ISERROR(MATCH(A32,'liste reference'!$A$6:$A$1174,0)),IF(ISERROR(MATCH(A32,'liste reference'!$B$6:$B$1174,0)),"",(MATCH(A32,'liste reference'!$B$6:$B$1174,0))),(MATCH(A32,'liste reference'!$A$6:$A$1174,0)))</f>
        <v>407</v>
      </c>
    </row>
    <row r="33" customFormat="false" ht="12.75" hidden="false" customHeight="false" outlineLevel="0" collapsed="false">
      <c r="A33" s="490" t="s">
        <v>2136</v>
      </c>
      <c r="B33" s="491" t="n">
        <v>0.01</v>
      </c>
      <c r="C33" s="492" t="n">
        <v>0.01</v>
      </c>
      <c r="D33" s="493" t="str">
        <f aca="false">IF(ISERROR(VLOOKUP($A33,'liste reference'!$A$6:$B$1174,2,0)),IF(ISERROR(VLOOKUP($A33,'liste reference'!$B$6:$B$1174,1,0)),"",VLOOKUP($A33,'liste reference'!$B$6:$B$1174,1,0)),VLOOKUP($A33,'liste reference'!$A$6:$B$1174,2,0))</f>
        <v>Mentha aquatica</v>
      </c>
      <c r="E33" s="494" t="e">
        <f aca="false">IF(D33="",,VLOOKUP(D33,D$22:D32,1,0))</f>
        <v>#N/A</v>
      </c>
      <c r="F33" s="495" t="n">
        <f aca="false">IF(AND(OR(A33="",A33="!!!!!!"),B33="",C33=""),"",IF(OR(AND(B33="",C33=""),ISERROR(C33+B33)),"!!!",($B33*$B$7+$C33*$C$7)/100))</f>
        <v>0.01</v>
      </c>
      <c r="G33" s="496" t="str">
        <f aca="false">IF(A33="","",IF(ISERROR(VLOOKUP($A33,'liste reference'!$A$6:$Q$1174,9,0)),IF(ISERROR(VLOOKUP($A33,'liste reference'!$B$6:$Q$1174,8,0)),"    -",VLOOKUP($A33,'liste reference'!$B$6:$Q$1174,8,0)),VLOOKUP($A33,'liste reference'!$A$6:$Q$1174,9,0)))</f>
        <v>PHe</v>
      </c>
      <c r="H33" s="497" t="n">
        <f aca="false">IF(A33="","x",IF(ISERROR(VLOOKUP($A33,'liste reference'!$A$6:$Q$1174,10,0)),IF(ISERROR(VLOOKUP($A33,'liste reference'!$B$6:$Q$1174,9,0)),"x",VLOOKUP($A33,'liste reference'!$B$6:$Q$1174,9,0)),VLOOKUP($A33,'liste reference'!$A$6:$Q$1174,10,0)))</f>
        <v>8</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Mentha aquatica</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1791</v>
      </c>
      <c r="R33" s="486" t="n">
        <f aca="false">IF(ISTEXT(H33),"",(B33*$B$7/100)+(C33*$C$7/100))</f>
        <v>0.01</v>
      </c>
      <c r="S33" s="487" t="n">
        <f aca="false">IF(OR(ISTEXT(H33),R33=0),"",IF(R33&lt;0.1,1,IF(R33&lt;1,2,IF(R33&lt;10,3,IF(R33&lt;50,4,IF(R33&gt;=50,5,""))))))</f>
        <v>1</v>
      </c>
      <c r="T33" s="487" t="n">
        <f aca="false">IF(ISERROR(S33*J33),0,S33*J33)</f>
        <v>12</v>
      </c>
      <c r="U33" s="487" t="n">
        <f aca="false">IF(ISERROR(S33*J33*K33),0,S33*J33*K33)</f>
        <v>12</v>
      </c>
      <c r="V33" s="502" t="n">
        <f aca="false">IF(ISERROR(S33*K33),0,S33*K33)</f>
        <v>1</v>
      </c>
      <c r="W33" s="503"/>
      <c r="X33" s="504"/>
      <c r="Y33" s="487" t="str">
        <f aca="false">IF(AND(ISNUMBER(F33),OR(A33="",A33="!!!!!!")),"!!!!!!",IF(A33="new.cod","NEWCOD",IF(AND((Z33=""),ISTEXT(A33),A33&lt;&gt;"!!!!!!"),A33,IF(Z33="","",INDEX('liste reference'!$A$6:$A$1174,Z33)))))</f>
        <v>MENAQU</v>
      </c>
      <c r="Z33" s="472" t="n">
        <f aca="false">IF(ISERROR(MATCH(A33,'liste reference'!$A$6:$A$1174,0)),IF(ISERROR(MATCH(A33,'liste reference'!$B$6:$B$1174,0)),"",(MATCH(A33,'liste reference'!$B$6:$B$1174,0))),(MATCH(A33,'liste reference'!$A$6:$A$1174,0)))</f>
        <v>694</v>
      </c>
    </row>
    <row r="34" customFormat="false" ht="12.75" hidden="false" customHeight="false" outlineLevel="0" collapsed="false">
      <c r="A34" s="490" t="s">
        <v>2170</v>
      </c>
      <c r="B34" s="491"/>
      <c r="C34" s="492" t="n">
        <v>0.01</v>
      </c>
      <c r="D34" s="493" t="str">
        <f aca="false">IF(ISERROR(VLOOKUP($A34,'liste reference'!$A$6:$B$1174,2,0)),IF(ISERROR(VLOOKUP($A34,'liste reference'!$B$6:$B$1174,1,0)),"",VLOOKUP($A34,'liste reference'!$B$6:$B$1174,1,0)),VLOOKUP($A34,'liste reference'!$A$6:$B$1174,2,0))</f>
        <v>Phalaris arundinacea</v>
      </c>
      <c r="E34" s="494" t="e">
        <f aca="false">IF(D34="",,VLOOKUP(D34,D$22:D33,1,0))</f>
        <v>#N/A</v>
      </c>
      <c r="F34" s="495" t="n">
        <f aca="false">IF(AND(OR(A34="",A34="!!!!!!"),B34="",C34=""),"",IF(OR(AND(B34="",C34=""),ISERROR(C34+B34)),"!!!",($B34*$B$7+$C34*$C$7)/100))</f>
        <v>0.0035</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Phalaris arundinacea</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1577</v>
      </c>
      <c r="R34" s="486" t="n">
        <f aca="false">IF(ISTEXT(H34),"",(B34*$B$7/100)+(C34*$C$7/100))</f>
        <v>0.0035</v>
      </c>
      <c r="S34" s="487" t="n">
        <f aca="false">IF(OR(ISTEXT(H34),R34=0),"",IF(R34&lt;0.1,1,IF(R34&lt;1,2,IF(R34&lt;10,3,IF(R34&lt;50,4,IF(R34&gt;=50,5,""))))))</f>
        <v>1</v>
      </c>
      <c r="T34" s="487" t="n">
        <f aca="false">IF(ISERROR(S34*J34),0,S34*J34)</f>
        <v>10</v>
      </c>
      <c r="U34" s="487" t="n">
        <f aca="false">IF(ISERROR(S34*J34*K34),0,S34*J34*K34)</f>
        <v>10</v>
      </c>
      <c r="V34" s="502" t="n">
        <f aca="false">IF(ISERROR(S34*K34),0,S34*K34)</f>
        <v>1</v>
      </c>
      <c r="W34" s="503"/>
      <c r="X34" s="504"/>
      <c r="Y34" s="487" t="str">
        <f aca="false">IF(AND(ISNUMBER(F34),OR(A34="",A34="!!!!!!")),"!!!!!!",IF(A34="new.cod","NEWCOD",IF(AND((Z34=""),ISTEXT(A34),A34&lt;&gt;"!!!!!!"),A34,IF(Z34="","",INDEX('liste reference'!$A$6:$A$1174,Z34)))))</f>
        <v>PHAARU</v>
      </c>
      <c r="Z34" s="472" t="n">
        <f aca="false">IF(ISERROR(MATCH(A34,'liste reference'!$A$6:$A$1174,0)),IF(ISERROR(MATCH(A34,'liste reference'!$B$6:$B$1174,0)),"",(MATCH(A34,'liste reference'!$B$6:$B$1174,0))),(MATCH(A34,'liste reference'!$A$6:$A$1174,0)))</f>
        <v>707</v>
      </c>
    </row>
    <row r="35" customFormat="false" ht="12.75" hidden="false" customHeight="false" outlineLevel="0" collapsed="false">
      <c r="A35" s="490" t="s">
        <v>2479</v>
      </c>
      <c r="B35" s="491" t="n">
        <v>0.01</v>
      </c>
      <c r="C35" s="492"/>
      <c r="D35" s="493" t="str">
        <f aca="false">IF(ISERROR(VLOOKUP($A35,'liste reference'!$A$6:$B$1174,2,0)),IF(ISERROR(VLOOKUP($A35,'liste reference'!$B$6:$B$1174,1,0)),"",VLOOKUP($A35,'liste reference'!$B$6:$B$1174,1,0)),VLOOKUP($A35,'liste reference'!$A$6:$B$1174,2,0))</f>
        <v>Cyperus longus</v>
      </c>
      <c r="E35" s="494" t="e">
        <f aca="false">IF(D35="",,VLOOKUP(D35,D$22:D34,1,0))</f>
        <v>#N/A</v>
      </c>
      <c r="F35" s="495" t="n">
        <f aca="false">IF(AND(OR(A35="",A35="!!!!!!"),B35="",C35=""),"",IF(OR(AND(B35="",C35=""),ISERROR(C35+B35)),"!!!",($B35*$B$7+$C35*$C$7)/100))</f>
        <v>0.0065</v>
      </c>
      <c r="G35" s="496" t="str">
        <f aca="false">IF(A35="","",IF(ISERROR(VLOOKUP($A35,'liste reference'!$A$6:$Q$1174,9,0)),IF(ISERROR(VLOOKUP($A35,'liste reference'!$B$6:$Q$1174,8,0)),"    -",VLOOKUP($A35,'liste reference'!$B$6:$Q$1174,8,0)),VLOOKUP($A35,'liste reference'!$A$6:$Q$1174,9,0)))</f>
        <v>PHg</v>
      </c>
      <c r="H35" s="497" t="n">
        <f aca="false">IF(A35="","x",IF(ISERROR(VLOOKUP($A35,'liste reference'!$A$6:$Q$1174,10,0)),IF(ISERROR(VLOOKUP($A35,'liste reference'!$B$6:$Q$1174,9,0)),"x",VLOOKUP($A35,'liste reference'!$B$6:$Q$1174,9,0)),VLOOKUP($A35,'liste reference'!$A$6:$Q$1174,10,0)))</f>
        <v>9</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Cyperus longus</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1500</v>
      </c>
      <c r="R35" s="486" t="n">
        <f aca="false">IF(ISTEXT(H35),"",(B35*$B$7/100)+(C35*$C$7/100))</f>
        <v>0.0065</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CYPLON</v>
      </c>
      <c r="Z35" s="472" t="n">
        <f aca="false">IF(ISERROR(MATCH(A35,'liste reference'!$A$6:$A$1174,0)),IF(ISERROR(MATCH(A35,'liste reference'!$B$6:$B$1174,0)),"",(MATCH(A35,'liste reference'!$B$6:$B$1174,0))),(MATCH(A35,'liste reference'!$A$6:$A$1174,0)))</f>
        <v>825</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0.153</v>
      </c>
      <c r="G83" s="425"/>
      <c r="H83" s="425"/>
      <c r="I83" s="425"/>
      <c r="J83" s="425"/>
      <c r="K83" s="425"/>
      <c r="L83" s="425"/>
      <c r="M83" s="487"/>
      <c r="N83" s="487"/>
      <c r="O83" s="487"/>
      <c r="P83" s="487"/>
      <c r="Q83" s="487"/>
      <c r="R83" s="487"/>
      <c r="S83" s="487"/>
      <c r="T83" s="487"/>
      <c r="U83" s="487"/>
      <c r="V83" s="487" t="n">
        <f aca="false">SUM(V23:V82)</f>
        <v>16</v>
      </c>
      <c r="W83" s="487"/>
      <c r="X83" s="524"/>
      <c r="Y83" s="524"/>
      <c r="Z83" s="525"/>
    </row>
    <row r="84" customFormat="false" ht="12.75" hidden="true" customHeight="false" outlineLevel="0" collapsed="false">
      <c r="A84" s="519" t="str">
        <f aca="false">A3</f>
        <v>TRAVO</v>
      </c>
      <c r="B84" s="454" t="str">
        <f aca="false">C3</f>
        <v>TRAVO A VENTISERI</v>
      </c>
      <c r="C84" s="526" t="str">
        <f aca="false">A4</f>
        <v>(Date)</v>
      </c>
      <c r="D84" s="527" t="n">
        <f aca="false">IF(OR(ISERROR(SUM($U$23:$U$82)/SUM($V$23:$V$82)),F7&lt;&gt;100),-1,SUM($U$23:$U$82)/SUM($V$23:$V$82))</f>
        <v>13.6875</v>
      </c>
      <c r="E84" s="528" t="n">
        <f aca="false">O13</f>
        <v>13</v>
      </c>
      <c r="F84" s="454" t="n">
        <f aca="false">O14</f>
        <v>10</v>
      </c>
      <c r="G84" s="454" t="n">
        <f aca="false">O15</f>
        <v>5</v>
      </c>
      <c r="H84" s="454" t="n">
        <f aca="false">O16</f>
        <v>4</v>
      </c>
      <c r="I84" s="454" t="n">
        <f aca="false">O17</f>
        <v>1</v>
      </c>
      <c r="J84" s="529" t="n">
        <f aca="false">O8</f>
        <v>12.7</v>
      </c>
      <c r="K84" s="530" t="n">
        <f aca="false">O9</f>
        <v>2.72213151776324</v>
      </c>
      <c r="L84" s="531" t="n">
        <f aca="false">O10</f>
        <v>9</v>
      </c>
      <c r="M84" s="531" t="n">
        <f aca="false">O11</f>
        <v>18</v>
      </c>
      <c r="N84" s="530" t="n">
        <f aca="false">P8</f>
        <v>1.6</v>
      </c>
      <c r="O84" s="530" t="n">
        <f aca="false">P9</f>
        <v>0.66332495807108</v>
      </c>
      <c r="P84" s="531" t="n">
        <f aca="false">P10</f>
        <v>1</v>
      </c>
      <c r="Q84" s="531" t="n">
        <f aca="false">P11</f>
        <v>3</v>
      </c>
      <c r="R84" s="531" t="n">
        <f aca="false">F21</f>
        <v>0.153</v>
      </c>
      <c r="S84" s="531" t="n">
        <f aca="false">L11</f>
        <v>0</v>
      </c>
      <c r="T84" s="531" t="n">
        <f aca="false">L12</f>
        <v>9</v>
      </c>
      <c r="U84" s="531" t="n">
        <f aca="false">L13</f>
        <v>0</v>
      </c>
      <c r="V84" s="532" t="n">
        <f aca="false">L15</f>
        <v>3</v>
      </c>
      <c r="W84" s="533" t="n">
        <f aca="false">L15</f>
        <v>3</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18</v>
      </c>
      <c r="U87" s="285"/>
      <c r="V87" s="285"/>
    </row>
    <row r="88" customFormat="false" ht="12.75" hidden="true" customHeight="false" outlineLevel="0" collapsed="false">
      <c r="C88" s="535"/>
      <c r="D88" s="535"/>
      <c r="E88" s="535"/>
      <c r="R88" s="285" t="s">
        <v>3452</v>
      </c>
      <c r="S88" s="285"/>
      <c r="T88" s="537" t="n">
        <f aca="false">VLOOKUP($T$91,($A$23:$U$82),21,FALSE())</f>
        <v>54</v>
      </c>
      <c r="U88" s="285"/>
      <c r="V88" s="285" t="n">
        <f aca="false">COUNTIF(V23:V82,T89)</f>
        <v>1</v>
      </c>
    </row>
    <row r="89" customFormat="false" ht="12.75" hidden="true" customHeight="false" outlineLevel="0" collapsed="false">
      <c r="C89" s="535"/>
      <c r="D89" s="535"/>
      <c r="E89" s="535"/>
      <c r="R89" s="285" t="s">
        <v>3453</v>
      </c>
      <c r="S89" s="285"/>
      <c r="T89" s="537" t="n">
        <f aca="false">MAX($V$23:$V$82)</f>
        <v>3</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12.6923076923077</v>
      </c>
      <c r="U90" s="285" t="n">
        <f aca="false">IF(ISERROR(T90),0,1)</f>
        <v>1</v>
      </c>
    </row>
    <row r="91" customFormat="false" ht="12.75" hidden="true" customHeight="false" outlineLevel="0" collapsed="false">
      <c r="C91" s="535"/>
      <c r="D91" s="535"/>
      <c r="E91" s="535"/>
      <c r="R91" s="487" t="s">
        <v>3455</v>
      </c>
      <c r="S91" s="487"/>
      <c r="T91" s="487" t="str">
        <f aca="false">INDEX('liste reference'!$A$6:$A$1174,$U$91)</f>
        <v>DRASPX</v>
      </c>
      <c r="U91" s="285" t="n">
        <f aca="false">IF(ISERROR(MATCH($T$93,'liste reference'!$A$6:$A$1174,0)),MATCH($T$93,'liste reference'!$B$6:$B$1174,0),(MATCH($T$93,'liste reference'!$A$6:$A$1174,0)))</f>
        <v>42</v>
      </c>
      <c r="V91" s="525"/>
    </row>
    <row r="92" customFormat="false" ht="12.75" hidden="true" customHeight="false" outlineLevel="0" collapsed="false">
      <c r="C92" s="535"/>
      <c r="D92" s="535"/>
      <c r="E92" s="535"/>
      <c r="R92" s="285" t="s">
        <v>3456</v>
      </c>
      <c r="S92" s="285"/>
      <c r="T92" s="285" t="n">
        <f aca="false">MATCH(T89,$V$23:$V$82,0)</f>
        <v>3</v>
      </c>
      <c r="U92" s="285"/>
    </row>
    <row r="93" customFormat="false" ht="12.75" hidden="true" customHeight="false" outlineLevel="0" collapsed="false">
      <c r="C93" s="535"/>
      <c r="D93" s="535"/>
      <c r="E93" s="535"/>
      <c r="R93" s="487" t="s">
        <v>3457</v>
      </c>
      <c r="S93" s="285"/>
      <c r="T93" s="487" t="str">
        <f aca="false">INDEX($A$23:$A$82,$T$92)</f>
        <v>DRASPX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3478</v>
      </c>
      <c r="G20" s="7"/>
      <c r="H20" s="574" t="s">
        <v>3478</v>
      </c>
      <c r="I20" s="575"/>
    </row>
    <row r="21" customFormat="false" ht="13.8" hidden="false" customHeight="false" outlineLevel="0" collapsed="false">
      <c r="A21" s="562"/>
      <c r="B21" s="565" t="s">
        <v>2318</v>
      </c>
      <c r="C21" s="566"/>
      <c r="D21" s="567"/>
      <c r="F21" s="574" t="s">
        <v>3389</v>
      </c>
      <c r="G21" s="7"/>
      <c r="H21" s="574" t="s">
        <v>3389</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2018-02-06T07:43:03Z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