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22600" sheetId="6" state="visible" r:id="rId8"/>
    <sheet name="jgjg" sheetId="7" state="hidden" r:id="rId9"/>
    <sheet name="liste codes réf" sheetId="8" state="hidden" r:id="rId10"/>
  </sheets>
  <definedNames>
    <definedName function="false" hidden="false" localSheetId="5" name="_xlnm.Print_Area" vbProcedure="false">'06222600'!$A$1:$Q$82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<sst xmlns="http://schemas.openxmlformats.org/spreadsheetml/2006/main" count="8841" uniqueCount="3497">
  <si>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</si>
  <si>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</si>
  <si>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</si>
  <si>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</si>
  <si>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</si>
  <si>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</si>
  <si>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</si>
  <si>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</si>
  <si>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</si>
  <si>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</si>
  <si>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</si>
  <si>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</si>
  <si>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</si>
  <si>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</si>
  <si>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</si>
  <si>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</si>
  <si>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</si>
  <si>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</si>
  <si>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</si>
  <si>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</si>
  <si>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</si>
  <si>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</si>
  <si>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</si>
  <si>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</si>
  <si>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</si>
  <si>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</si>
  <si>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</si>
  <si>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</si>
  <si>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</si>
  <si>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</si>
  <si>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</si>
  <si>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</si>
  <si>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</si>
  <si>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</si>
  <si>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</si>
  <si>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</si>
  <si>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</si>
  <si>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</si>
  <si>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</si>
  <si>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</si>
  <si>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</si>
  <si>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</si>
  <si>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</si>
  <si>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</si>
  <si>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</si>
  <si>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</si>
  <si>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</si>
  <si>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</si>
  <si>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</si>
  <si>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</si>
  <si>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</si>
  <si>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</si>
  <si>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</si>
  <si>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</si>
  <si>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</si>
  <si>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</si>
  <si>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</si>
  <si>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</si>
  <si>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</si>
  <si>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</si>
  <si>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</si>
  <si>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</si>
  <si>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</si>
  <si>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</si>
  <si>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</si>
  <si>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</si>
  <si>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</si>
  <si>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</si>
  <si>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</si>
  <si>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</si>
  <si>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</si>
  <si>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</si>
  <si>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</si>
  <si>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</si>
  <si>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</si>
  <si>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</si>
  <si>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</si>
  <si>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</si>
  <si>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</si>
  <si>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</si>
  <si>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</si>
  <si>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</si>
  <si>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</si>
  <si>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</si>
  <si>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</si>
  <si>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</si>
  <si>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</si>
  <si>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</si>
  <si>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</si>
  <si>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</si>
  <si>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</si>
  <si>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</si>
  <si>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</si>
  <si>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</si>
  <si>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</si>
  <si>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</si>
  <si>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</si>
  <si>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</si>
  <si>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</si>
  <si>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</si>
  <si>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</si>
  <si>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</si>
  <si>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</si>
  <si>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</si>
  <si>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</si>
  <si>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</si>
  <si>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</si>
  <si>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</si>
  <si>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</si>
  <si>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</si>
  <si>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</si>
  <si>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</si>
  <si>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</si>
  <si>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</si>
  <si>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</si>
  <si>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</si>
  <si>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</si>
  <si>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</si>
  <si>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</si>
  <si>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</si>
  <si>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</si>
  <si>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</si>
  <si>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</si>
  <si>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</si>
  <si>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</si>
  <si>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</si>
  <si>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</si>
  <si>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</si>
  <si>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</si>
  <si>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</si>
  <si>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</si>
  <si>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</si>
  <si>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</si>
  <si>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</si>
  <si>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</si>
  <si>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</si>
  <si>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</si>
  <si>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</si>
  <si>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</si>
  <si>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</si>
  <si>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</si>
  <si>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</si>
  <si>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</si>
  <si>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</si>
  <si>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</si>
  <si>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</si>
  <si>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</si>
  <si>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</si>
  <si>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</si>
  <si>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</si>
  <si>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</si>
  <si>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</si>
  <si>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</si>
  <si>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</si>
  <si>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</si>
  <si>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</si>
  <si>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</si>
  <si>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</si>
  <si>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</si>
  <si>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</si>
  <si>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</si>
  <si>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</si>
  <si>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</si>
  <si>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</si>
  <si>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</si>
  <si>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</si>
  <si>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</si>
  <si>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</si>
  <si>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</si>
  <si>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</si>
  <si>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</si>
  <si>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</si>
  <si>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</si>
  <si>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</si>
  <si>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</si>
  <si>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</si>
  <si>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</si>
  <si>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</si>
  <si>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</si>
  <si>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</si>
  <si>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</si>
  <si>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</si>
  <si>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</si>
  <si>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</si>
  <si>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</si>
  <si>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</si>
  <si>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</si>
  <si>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</si>
  <si>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</si>
  <si>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</si>
  <si>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</si>
  <si>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</si>
  <si>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</si>
  <si>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</si>
  <si>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</si>
  <si>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</si>
  <si>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</si>
  <si>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</si>
  <si>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</si>
  <si>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</si>
  <si>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</si>
  <si>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</si>
  <si>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</si>
  <si>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</si>
  <si>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</si>
  <si>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</si>
  <si>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</si>
  <si>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</si>
  <si>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</si>
  <si>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</si>
  <si>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</si>
  <si>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</si>
  <si>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</si>
  <si>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</si>
  <si>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</si>
  <si>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</si>
  <si>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</si>
  <si>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</si>
  <si>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</si>
  <si>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</si>
  <si>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</si>
  <si>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</si>
  <si>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</si>
  <si>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</si>
  <si>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</si>
  <si>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</si>
  <si>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</si>
  <si>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</si>
  <si>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</si>
  <si>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</si>
  <si>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</si>
  <si>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</si>
  <si>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</si>
  <si>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</si>
  <si>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</si>
  <si>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</si>
  <si>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</si>
  <si>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</si>
  <si>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</si>
  <si>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</si>
  <si>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</si>
  <si>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</si>
  <si>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</si>
  <si>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</si>
  <si>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</si>
  <si>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</si>
  <si>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</si>
  <si>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</si>
  <si>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</si>
  <si>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</si>
  <si>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</si>
  <si>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</si>
  <si>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</si>
  <si>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</si>
  <si>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</si>
  <si>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</si>
  <si>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</si>
  <si>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</si>
  <si>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</si>
  <si>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</si>
  <si>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</si>
  <si>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</si>
  <si>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</si>
  <si>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</si>
  <si>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</si>
  <si>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</si>
  <si>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</si>
  <si>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</si>
  <si>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</si>
  <si>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</si>
  <si>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</si>
  <si>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</si>
  <si>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</si>
  <si>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</si>
  <si>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</si>
  <si>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</si>
  <si>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</si>
  <si>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</si>
  <si>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</si>
  <si>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</si>
  <si>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</si>
  <si>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</si>
  <si>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</si>
  <si>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</si>
  <si>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</si>
  <si>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</si>
  <si>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</si>
  <si>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</si>
  <si>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</si>
  <si>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</si>
  <si>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</si>
  <si>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</si>
  <si>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</si>
  <si>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</si>
  <si>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</si>
  <si>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</si>
  <si>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</si>
  <si>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</si>
  <si>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</si>
  <si>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</si>
  <si>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</si>
  <si>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</si>
  <si>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</si>
  <si>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</si>
  <si>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</si>
  <si>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</si>
  <si>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</si>
  <si>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</si>
  <si>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</si>
  <si>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</si>
  <si>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</si>
  <si>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</si>
  <si>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</si>
  <si>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</si>
  <si>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</si>
  <si>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</si>
  <si>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</si>
  <si>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</si>
  <si>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</si>
  <si>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</si>
  <si>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</si>
  <si>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</si>
  <si>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</si>
  <si>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</si>
  <si>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</si>
  <si>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</si>
  <si>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</si>
  <si>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</si>
  <si>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</si>
  <si>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</si>
  <si>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</si>
  <si>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</si>
  <si>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</si>
  <si>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</si>
  <si>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</si>
  <si>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</si>
  <si>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</si>
  <si>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</si>
  <si>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</si>
  <si>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</si>
  <si>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</si>
  <si>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</si>
  <si>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</si>
  <si>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</si>
  <si>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</si>
  <si>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</si>
  <si>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</si>
  <si>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</si>
  <si>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</si>
  <si>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</si>
  <si>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</si>
  <si>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</si>
  <si>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</si>
  <si>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</si>
  <si>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</si>
  <si>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</si>
  <si>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</si>
  <si>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</si>
  <si>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</si>
  <si>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</si>
  <si>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</si>
  <si>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</si>
  <si>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</si>
  <si>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</si>
  <si>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</si>
  <si>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</si>
  <si>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</si>
  <si>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</si>
  <si>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</si>
  <si>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</si>
  <si>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</si>
  <si>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</si>
  <si>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</si>
  <si>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</si>
  <si>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</si>
  <si>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</si>
  <si>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</si>
  <si>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</si>
  <si>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</si>
  <si>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</si>
  <si>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</si>
  <si>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</si>
  <si>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</si>
  <si>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</si>
  <si>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</si>
  <si>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</si>
  <si>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</si>
  <si>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</si>
  <si>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</si>
  <si>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</si>
  <si>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</si>
  <si>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</si>
  <si>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</si>
  <si>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</si>
  <si>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</si>
  <si>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</si>
  <si>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</si>
  <si>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</si>
  <si>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</si>
  <si>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</si>
  <si>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</si>
  <si>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</si>
  <si>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</si>
  <si>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</si>
  <si>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</si>
  <si>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</si>
  <si>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</si>
  <si>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</si>
  <si>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</si>
  <si>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</si>
  <si>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</si>
  <si>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</si>
  <si>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</si>
  <si>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</si>
  <si>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</si>
  <si>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</si>
  <si>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</si>
  <si>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</si>
  <si>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</si>
  <si>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</si>
  <si>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</si>
  <si>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</si>
  <si>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</si>
  <si>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</si>
  <si>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</si>
  <si>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</si>
  <si>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</si>
  <si>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</si>
  <si>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</si>
  <si>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</si>
  <si>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</si>
  <si>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</si>
  <si>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</si>
  <si>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</si>
  <si>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</si>
  <si>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</si>
  <si>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</si>
  <si>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</si>
  <si>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</si>
  <si>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</si>
  <si>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</si>
  <si>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</si>
  <si>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</si>
  <si>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</si>
  <si>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</si>
  <si>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</si>
  <si>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</si>
  <si>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</si>
  <si>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</si>
  <si>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</si>
  <si>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</si>
  <si>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</si>
  <si>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</si>
  <si>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</si>
  <si>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</si>
  <si>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</si>
  <si>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</si>
  <si>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</si>
  <si>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</si>
  <si>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</si>
  <si>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</si>
  <si>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</si>
  <si>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</si>
  <si>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</si>
  <si>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</si>
  <si>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</si>
  <si>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</si>
  <si>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</si>
  <si>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</si>
  <si>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</si>
  <si>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</si>
  <si>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</si>
  <si>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</si>
  <si>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</si>
  <si>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</si>
  <si>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</si>
  <si>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</si>
  <si>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</si>
  <si>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</si>
  <si>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</si>
  <si>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</si>
  <si>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</si>
  <si>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</si>
  <si>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</si>
  <si>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</si>
  <si>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</si>
  <si>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</si>
  <si>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</si>
  <si>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</si>
  <si>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</si>
  <si>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</si>
  <si>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</si>
  <si>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</si>
  <si>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</si>
  <si>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</si>
  <si>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</si>
  <si>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</si>
  <si>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</si>
  <si>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</si>
  <si>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</si>
  <si>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</si>
  <si>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</si>
  <si>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</si>
  <si>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</si>
  <si>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</si>
  <si>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</si>
  <si>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</si>
  <si>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</si>
  <si>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</si>
  <si>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</si>
  <si>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</si>
  <si>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</si>
  <si>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</si>
  <si>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</si>
  <si>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</si>
  <si>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</si>
  <si>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</si>
  <si>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</si>
  <si>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</si>
  <si>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</si>
  <si>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</si>
  <si>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</si>
  <si>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</si>
  <si>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</si>
  <si>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</si>
  <si>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</si>
  <si>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</si>
  <si>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</si>
  <si>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</si>
  <si>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</si>
  <si>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</si>
  <si>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</si>
  <si>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</si>
  <si>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</si>
  <si>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</si>
  <si>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</si>
  <si>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</si>
  <si>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</si>
  <si>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</si>
  <si>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</si>
  <si>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</si>
  <si>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</si>
  <si>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</si>
  <si>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</si>
  <si>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</si>
  <si>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</si>
  <si>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</si>
  <si>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</si>
  <si>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</si>
  <si>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</si>
  <si>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</si>
  <si>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</si>
  <si>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</si>
  <si>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</si>
  <si>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</si>
  <si>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</si>
  <si>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</si>
  <si>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</si>
  <si>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</si>
  <si>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</si>
  <si>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</si>
  <si>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</si>
  <si>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</si>
  <si>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</si>
  <si>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</si>
  <si>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</si>
  <si>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</si>
  <si>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</si>
  <si>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</si>
  <si>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</si>
  <si>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</si>
  <si>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</si>
  <si>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</si>
  <si>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</si>
  <si>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</si>
  <si>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</si>
  <si>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</si>
  <si>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</si>
  <si>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</si>
  <si>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</si>
  <si>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</si>
  <si>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</si>
  <si>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</si>
  <si>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</si>
  <si>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</si>
  <si>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</si>
  <si>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</si>
  <si>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</si>
  <si>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</si>
  <si>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</si>
  <si>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</si>
  <si>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</si>
  <si>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</si>
  <si>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</si>
  <si>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</si>
  <si>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</si>
  <si>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</si>
  <si>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</si>
  <si>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</si>
  <si>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</si>
  <si>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</si>
  <si>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</si>
  <si>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</si>
  <si>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</si>
  <si>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</si>
  <si>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</si>
  <si>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</si>
  <si>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</si>
  <si>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</si>
  <si>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</si>
  <si>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</si>
  <si>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</si>
  <si>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</si>
  <si>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</si>
  <si>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</si>
  <si>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</si>
  <si>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</si>
  <si>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</si>
  <si>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</si>
  <si>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</si>
  <si>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</si>
  <si>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</si>
  <si>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</si>
  <si>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</si>
  <si>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</si>
  <si>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</si>
  <si>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</si>
  <si>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</si>
  <si>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</si>
  <si>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</si>
  <si>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</si>
  <si>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</si>
  <si>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</si>
  <si>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</si>
  <si>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</si>
  <si>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</si>
  <si>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</si>
  <si>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</si>
  <si>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</si>
  <si>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</si>
  <si>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</si>
  <si>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</si>
  <si>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</si>
  <si>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</si>
  <si>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</si>
  <si>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</si>
  <si>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</si>
  <si>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</si>
  <si>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</si>
  <si>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</si>
  <si>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</si>
  <si>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</si>
  <si>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</si>
  <si>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</si>
  <si>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</si>
  <si>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</si>
  <si>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</si>
  <si>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</si>
  <si>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</si>
  <si>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</si>
  <si>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</si>
  <si>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</si>
  <si>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</si>
  <si>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</si>
  <si>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</si>
  <si>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</si>
  <si>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</si>
  <si>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</si>
  <si>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</si>
  <si>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</si>
  <si>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</si>
  <si>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</si>
  <si>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</si>
  <si>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</si>
  <si>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</si>
  <si>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</si>
  <si>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</si>
  <si>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</si>
  <si>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</si>
  <si>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</si>
  <si>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</si>
  <si>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</si>
  <si>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</si>
  <si>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</si>
  <si>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</si>
  <si>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</si>
  <si>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</si>
  <si>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</si>
  <si>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</si>
  <si>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</si>
  <si>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</si>
  <si>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</si>
  <si>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</si>
  <si>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</si>
  <si>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</si>
  <si>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</si>
  <si>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</si>
  <si>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</si>
  <si>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</si>
  <si>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</si>
  <si>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</si>
  <si>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</si>
  <si>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</si>
  <si>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</si>
  <si>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</si>
  <si>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</si>
  <si>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</si>
  <si>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</si>
  <si>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</si>
  <si>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</si>
  <si>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</si>
  <si>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</si>
  <si>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</si>
  <si>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</si>
  <si>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</si>
  <si>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</si>
  <si>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</si>
  <si>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</si>
  <si>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</si>
  <si>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</si>
  <si>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</si>
  <si>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</si>
  <si>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</si>
  <si>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</si>
  <si>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</si>
  <si>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</si>
  <si>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</si>
  <si>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</si>
  <si>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</si>
  <si>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</si>
  <si>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</si>
  <si>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</si>
  <si>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</si>
  <si>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</si>
  <si>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</si>
  <si>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</si>
  <si>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</si>
  <si>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</si>
  <si>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</si>
  <si>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</si>
  <si>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</si>
  <si>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</si>
  <si>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</si>
  <si>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</si>
  <si>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</si>
  <si>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</si>
  <si>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</si>
  <si>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</si>
  <si>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</si>
  <si>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</si>
  <si>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</si>
  <si>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</si>
  <si>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</si>
  <si>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</si>
  <si>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</si>
  <si>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</si>
  <si>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</si>
  <si>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</si>
  <si>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</si>
  <si>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</si>
  <si>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</si>
  <si>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</si>
  <si>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</si>
  <si>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</si>
  <si>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</si>
  <si>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</si>
  <si>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</si>
  <si>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</si>
  <si>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</si>
  <si>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</si>
  <si>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</si>
  <si>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</si>
  <si>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</si>
  <si>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</si>
  <si>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</si>
  <si>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</si>
  <si>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</si>
  <si>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</si>
  <si>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</si>
  <si>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</si>
  <si>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</si>
  <si>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</si>
  <si>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</si>
  <si>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</si>
  <si>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</si>
  <si>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</si>
  <si>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</si>
  <si>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</si>
  <si>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</si>
  <si>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</si>
  <si>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</si>
  <si>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</si>
  <si>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</si>
  <si>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</si>
  <si>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</si>
  <si>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</si>
  <si>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</si>
  <si>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</si>
  <si>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</si>
  <si>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</si>
  <si>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</si>
  <si>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</si>
  <si>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</si>
  <si>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</si>
  <si>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</si>
  <si>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</si>
  <si>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</si>
  <si>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</si>
  <si>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</si>
  <si>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</si>
  <si>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</si>
  <si>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</si>
  <si>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</si>
  <si>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</si>
  <si>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</si>
  <si>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</si>
  <si>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</si>
  <si>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</si>
  <si>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</si>
  <si>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</si>
  <si>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</si>
  <si>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</si>
  <si>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</si>
  <si>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</si>
  <si>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</si>
  <si>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</si>
  <si>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</si>
  <si>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</si>
  <si>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</si>
  <si>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</si>
  <si>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</si>
  <si>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</si>
  <si>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</si>
  <si>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</si>
  <si>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</si>
  <si>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</si>
  <si>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</si>
  <si>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</si>
  <si>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</si>
  <si>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</si>
  <si>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</si>
  <si>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</si>
  <si>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</si>
  <si>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</si>
  <si>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</si>
  <si>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</si>
  <si>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</si>
  <si>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</si>
  <si>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</si>
  <si>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</si>
  <si>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</si>
  <si>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</si>
  <si>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</si>
  <si>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</si>
  <si>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</si>
  <si>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</si>
  <si>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</si>
  <si>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</si>
  <si>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</si>
  <si>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</si>
  <si>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</si>
  <si>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</si>
  <si>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</si>
  <si>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</si>
  <si>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</si>
  <si>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</si>
  <si>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</si>
  <si>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</si>
  <si>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</si>
  <si>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</si>
  <si>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</si>
  <si>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</si>
  <si>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</si>
  <si>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</si>
  <si>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</si>
  <si>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</si>
  <si>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</si>
  <si>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</si>
  <si>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</si>
  <si>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</si>
  <si>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</si>
  <si>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</si>
  <si>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</si>
  <si>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</si>
  <si>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</si>
  <si>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</si>
  <si>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</si>
  <si>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</si>
  <si>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</si>
  <si>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</si>
  <si>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</si>
  <si>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</si>
  <si>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</si>
  <si>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</si>
  <si>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</si>
  <si>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</si>
  <si>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</si>
  <si>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</si>
  <si>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</si>
  <si>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</si>
  <si>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</si>
  <si>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</si>
  <si>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</si>
  <si>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</si>
  <si>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</si>
  <si>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</si>
  <si>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</si>
  <si>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</si>
  <si>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</si>
  <si>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</si>
  <si>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</si>
  <si>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</si>
  <si>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</si>
  <si>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</si>
  <si>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</si>
  <si>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</si>
  <si>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</si>
  <si>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</si>
  <si>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</si>
  <si>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</si>
  <si>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</si>
  <si>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</si>
  <si>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</si>
  <si>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</si>
  <si>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</si>
  <si>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</si>
  <si>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</si>
  <si>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</si>
  <si>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</si>
  <si>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</si>
  <si>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</si>
  <si>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</si>
  <si>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</si>
  <si>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</si>
  <si>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</si>
  <si>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</si>
  <si>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</si>
  <si>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</si>
  <si>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</si>
  <si>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</si>
  <si>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</si>
  <si>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</si>
  <si>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</si>
  <si>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</si>
  <si>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</si>
  <si>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</si>
  <si>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</si>
  <si>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</si>
  <si>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</si>
  <si>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</si>
  <si>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</si>
  <si>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</si>
  <si>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</si>
  <si>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</si>
  <si>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</si>
  <si>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</si>
  <si>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</si>
  <si>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</si>
  <si>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</si>
  <si>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</si>
  <si>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</si>
  <si>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</si>
  <si>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</si>
  <si>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</si>
  <si>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</si>
  <si>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</si>
  <si>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</si>
  <si>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</si>
  <si>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</si>
  <si>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</si>
  <si>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</si>
  <si>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</si>
  <si>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</si>
  <si>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</si>
  <si>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</si>
  <si>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</si>
  <si>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</si>
  <si>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</si>
  <si>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</si>
  <si>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</si>
  <si>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</si>
  <si>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</si>
  <si>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</si>
  <si>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</si>
  <si>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</si>
  <si>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</si>
  <si>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</si>
  <si>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</si>
  <si>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</si>
  <si>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</si>
  <si>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</si>
  <si>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</si>
  <si>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</si>
  <si>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</si>
  <si>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</si>
  <si>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</si>
  <si>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</si>
  <si>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</si>
  <si>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</si>
  <si>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</si>
  <si>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</si>
  <si>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</si>
  <si>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</si>
  <si>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</si>
  <si>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</si>
  <si>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</si>
  <si>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</si>
  <si>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</si>
  <si>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</si>
  <si>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</si>
  <si>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</si>
  <si>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</si>
  <si>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</si>
  <si>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</si>
  <si>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</si>
  <si>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</si>
  <si>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</si>
  <si>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</si>
  <si>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</si>
  <si>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</si>
  <si>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</si>
  <si>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</si>
  <si>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</si>
  <si>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</si>
  <si>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</si>
  <si>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</si>
  <si>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</si>
  <si>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</si>
  <si>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</si>
  <si>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</si>
  <si>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</si>
  <si>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</si>
  <si>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</si>
  <si>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</si>
  <si>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</si>
  <si>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</si>
  <si>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</si>
  <si>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</si>
  <si>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</si>
  <si>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</si>
  <si>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</si>
  <si>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</si>
  <si>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</si>
  <si>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</si>
  <si>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</si>
  <si>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</si>
  <si>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</si>
  <si>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</si>
  <si>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</si>
  <si>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</si>
  <si>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</si>
  <si>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</si>
  <si>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</si>
  <si>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</si>
  <si>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</si>
  <si>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</si>
  <si>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</si>
  <si>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</si>
  <si>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</si>
  <si>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</si>
  <si>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</si>
  <si>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</si>
  <si>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</si>
  <si>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</si>
  <si>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</si>
  <si>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</si>
  <si>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</si>
  <si>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</si>
  <si>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</si>
  <si>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</si>
  <si>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</si>
  <si>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</si>
  <si>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</si>
  <si>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</si>
  <si>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</si>
  <si>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</si>
  <si>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</si>
  <si>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</si>
  <si>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</si>
  <si>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</si>
  <si>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</si>
  <si>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</si>
  <si>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</si>
  <si>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</si>
  <si>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</si>
  <si>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</si>
  <si>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</si>
  <si>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</si>
  <si>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</si>
  <si>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</si>
  <si>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</si>
  <si>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</si>
  <si>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</si>
  <si>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</si>
  <si>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</si>
  <si>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</si>
  <si>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</si>
  <si>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</si>
  <si>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</si>
  <si>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</si>
  <si>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</si>
  <si>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</si>
  <si>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</si>
  <si>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</si>
  <si>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</si>
  <si>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</si>
  <si>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</si>
  <si>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</si>
  <si>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</si>
  <si>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</si>
  <si>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</si>
  <si>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</si>
  <si>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</si>
  <si>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</si>
  <si>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</si>
  <si>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</si>
  <si>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</si>
  <si>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</si>
  <si>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</si>
  <si>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</si>
  <si>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</si>
  <si>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</si>
  <si>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</si>
  <si>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</si>
  <si>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</si>
  <si>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</si>
  <si>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</si>
  <si>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</si>
  <si>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</si>
  <si>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</si>
  <si>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</si>
  <si>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</si>
  <si>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</si>
  <si>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</si>
  <si>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</si>
  <si>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</si>
  <si>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</si>
  <si>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</si>
  <si>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</si>
  <si>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</si>
  <si>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</si>
  <si>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</si>
  <si>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</si>
  <si>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</si>
  <si>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</si>
  <si>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</si>
  <si>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</si>
  <si>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</si>
  <si>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</si>
  <si>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</si>
  <si>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</si>
  <si>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</si>
  <si>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</si>
  <si>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</si>
  <si>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</si>
  <si>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</si>
  <si>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</si>
  <si>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</si>
  <si>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</si>
  <si>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</si>
  <si>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</si>
  <si>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</si>
  <si>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</si>
  <si>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</si>
  <si>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</si>
  <si>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</si>
  <si>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</si>
  <si>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</si>
  <si>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</si>
  <si>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</si>
  <si>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</si>
  <si>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</si>
  <si>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</si>
  <si>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</si>
  <si>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</si>
  <si>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</si>
  <si>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</si>
  <si>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</si>
  <si>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</si>
  <si>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</si>
  <si>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</si>
  <si>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</si>
  <si>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</si>
  <si>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</si>
  <si>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</si>
  <si>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</si>
  <si>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</si>
  <si>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</si>
  <si>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</si>
  <si>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</si>
  <si>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</si>
  <si>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</si>
  <si>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</si>
  <si>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</si>
  <si>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</si>
  <si>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</si>
  <si>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</si>
  <si>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</si>
  <si>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</si>
  <si>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</si>
  <si>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</si>
  <si>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</si>
  <si>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</si>
  <si>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</si>
  <si>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</si>
  <si>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</si>
  <si>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</si>
  <si>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</si>
  <si>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</si>
  <si>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</si>
  <si>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</si>
  <si>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</si>
  <si>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</si>
  <si>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</si>
  <si>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</si>
  <si>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</si>
  <si>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</si>
  <si>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</si>
  <si>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</si>
  <si>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</si>
  <si>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</si>
  <si>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</si>
  <si>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</si>
  <si>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</si>
  <si>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</si>
  <si>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</si>
  <si>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</si>
  <si>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</si>
  <si>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</si>
  <si>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</si>
  <si>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</si>
  <si>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</si>
  <si>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</si>
  <si>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</si>
  <si>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</si>
  <si>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</si>
  <si>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</si>
  <si>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</si>
  <si>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</si>
  <si>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</si>
  <si>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</si>
  <si>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</si>
  <si>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</si>
  <si>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</si>
  <si>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</si>
  <si>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</si>
  <si>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</si>
  <si>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</si>
  <si>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</si>
  <si>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</si>
  <si>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</si>
  <si>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</si>
  <si>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</si>
  <si>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</si>
  <si>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</si>
  <si>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</si>
  <si>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</si>
  <si>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</si>
  <si>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</si>
  <si>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</si>
  <si>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</si>
  <si>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</si>
  <si>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</si>
  <si>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</si>
  <si>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</si>
  <si>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</si>
  <si>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</si>
  <si>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</si>
  <si>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</si>
  <si>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</si>
  <si>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</si>
  <si>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</si>
  <si>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</si>
  <si>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</si>
  <si>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</si>
  <si>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</si>
  <si>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</si>
  <si>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</si>
  <si>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</si>
  <si>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</si>
  <si>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</si>
  <si>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</si>
  <si>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</si>
  <si>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</si>
  <si>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</si>
  <si>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</si>
  <si>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</si>
  <si>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</si>
  <si>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</si>
  <si>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</si>
  <si>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</si>
  <si>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</si>
  <si>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</si>
  <si>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</si>
  <si>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</si>
  <si>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</si>
  <si>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</si>
  <si>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</si>
  <si>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</si>
  <si>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</si>
  <si>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</si>
  <si>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</si>
  <si>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</si>
  <si>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</si>
  <si>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</si>
  <si>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</si>
  <si>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</si>
  <si>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</si>
  <si>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</si>
  <si>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</si>
  <si>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</si>
  <si>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</si>
  <si>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</si>
  <si>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</si>
  <si>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</si>
  <si>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</si>
  <si>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</si>
  <si>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</si>
  <si>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</si>
  <si>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</si>
  <si>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</si>
  <si>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</si>
  <si>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</si>
  <si>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</si>
  <si>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</si>
  <si>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</si>
  <si>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</si>
  <si>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</si>
  <si>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</si>
  <si>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</si>
  <si>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</si>
  <si>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</si>
  <si>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</si>
  <si>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</si>
  <si>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</si>
  <si>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</si>
  <si>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</si>
  <si>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</si>
  <si>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</si>
  <si>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</si>
  <si>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</si>
  <si>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</si>
  <si>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</si>
  <si>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</si>
  <si>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</si>
  <si>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</si>
  <si>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</si>
  <si>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</si>
  <si>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</si>
  <si>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</si>
  <si>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</si>
  <si>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</si>
  <si>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</si>
  <si>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</si>
  <si>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</si>
  <si>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</si>
  <si>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</si>
  <si>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</si>
  <si>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</si>
  <si>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</si>
  <si>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</si>
  <si>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</si>
  <si>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</si>
  <si>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</si>
  <si>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</si>
  <si>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</si>
  <si>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</si>
  <si>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</si>
  <si>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</si>
  <si>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</si>
  <si>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</si>
  <si>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</si>
  <si>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</si>
  <si>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</si>
  <si>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</si>
  <si>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</si>
  <si>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</si>
  <si>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</si>
  <si>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</si>
  <si>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</si>
  <si>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</si>
  <si>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</si>
  <si>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</si>
  <si>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</si>
  <si>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</si>
  <si>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</si>
  <si>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</si>
  <si>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</si>
  <si>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</si>
  <si>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</si>
  <si>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</si>
  <si>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</si>
  <si>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</si>
  <si>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</si>
  <si>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</si>
  <si>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</si>
  <si>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</si>
  <si>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</si>
  <si>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</si>
  <si>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</si>
  <si>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</si>
  <si>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</si>
  <si>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</si>
  <si>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</si>
  <si>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</si>
  <si>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</si>
  <si>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</si>
  <si>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</si>
  <si>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</si>
  <si>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</si>
  <si>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</si>
  <si>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</si>
  <si>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</si>
  <si>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</si>
  <si>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</si>
  <si>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</si>
  <si>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</si>
  <si>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</si>
  <si>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</si>
  <si>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</si>
  <si>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</si>
  <si>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</si>
  <si>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</si>
  <si>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</si>
  <si>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</si>
  <si>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</si>
  <si>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</si>
  <si>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</si>
  <si>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</si>
  <si>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</si>
  <si>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</si>
  <si>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</si>
  <si>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</si>
  <si>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</si>
  <si>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</si>
  <si>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</si>
  <si>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</si>
  <si>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</si>
  <si>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</si>
  <si>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</si>
  <si>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</si>
  <si>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</si>
  <si>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</si>
  <si>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</si>
  <si>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</si>
  <si>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</si>
  <si>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</si>
  <si>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</si>
  <si>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</si>
  <si>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</si>
  <si>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</si>
  <si>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</si>
  <si>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</si>
  <si>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</si>
  <si>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</si>
  <si>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</si>
  <si>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</si>
  <si>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</si>
  <si>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</si>
  <si>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</si>
  <si>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</si>
  <si>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</si>
  <si>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</si>
  <si>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</si>
  <si>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</si>
  <si>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</si>
  <si>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</si>
  <si>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</si>
  <si>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</si>
  <si>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</si>
  <si>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</si>
  <si>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</si>
  <si>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</si>
  <si>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</si>
  <si>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</si>
  <si>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</si>
  <si>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</si>
  <si>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</si>
  <si>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</si>
  <si>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</si>
  <si>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</si>
  <si>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</si>
  <si>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</si>
  <si>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</si>
  <si>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</si>
  <si>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</si>
  <si>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</si>
  <si>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</si>
  <si>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</si>
  <si>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</si>
  <si>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</si>
  <si>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</si>
  <si>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</si>
  <si>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</si>
  <si>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</si>
  <si>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</si>
  <si>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</si>
  <si>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</si>
  <si>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</si>
  <si>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</si>
  <si>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</si>
  <si>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</si>
  <si>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</si>
  <si>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</si>
  <si>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</si>
  <si>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</si>
  <si>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</si>
  <si>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</si>
  <si>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</si>
  <si>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</si>
  <si>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</si>
  <si>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</si>
  <si>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</si>
  <si>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</si>
  <si>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</si>
  <si>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</si>
  <si>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</si>
  <si>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</si>
  <si>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</si>
  <si>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</si>
  <si>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</si>
  <si>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</si>
  <si>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</si>
  <si>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</si>
  <si>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</si>
  <si>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</si>
  <si>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</si>
  <si>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</si>
  <si>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</si>
  <si>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</si>
  <si>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</si>
  <si>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</si>
  <si>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</si>
  <si>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</si>
  <si>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</si>
  <si>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</si>
  <si>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</si>
  <si>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</si>
  <si>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</si>
  <si>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</si>
  <si>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</si>
  <si>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</si>
  <si>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</si>
  <si>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</si>
  <si>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</si>
  <si>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</si>
  <si>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</si>
  <si>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</si>
  <si>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</si>
  <si>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</si>
  <si>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</si>
  <si>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</si>
  <si>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</si>
  <si>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</si>
  <si>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</si>
  <si>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</si>
  <si>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</si>
  <si>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</si>
  <si>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</si>
  <si>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</si>
  <si>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</si>
  <si>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</si>
  <si>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</si>
  <si>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</si>
  <si>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</si>
  <si>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</si>
  <si>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</si>
  <si>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</si>
  <si>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</si>
  <si>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</si>
  <si>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</si>
  <si>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</si>
  <si>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</si>
  <si>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</si>
  <si>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</si>
  <si>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</si>
  <si>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</si>
  <si>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</si>
  <si>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</si>
  <si>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</si>
  <si>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</si>
  <si>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</si>
  <si>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</si>
  <si>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</si>
  <si>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</si>
  <si>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</si>
  <si>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</si>
  <si>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</si>
  <si>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</si>
  <si>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</si>
  <si>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</si>
  <si>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</si>
  <si>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</si>
  <si>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</si>
  <si>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</si>
  <si>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</si>
  <si>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</si>
  <si>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</si>
  <si>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</si>
  <si>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</si>
  <si>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</si>
  <si>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</si>
  <si>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</si>
  <si>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</si>
  <si>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</si>
  <si>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</si>
  <si>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</si>
  <si>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</si>
  <si>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</si>
  <si>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</si>
  <si>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</si>
  <si>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</si>
  <si>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</si>
  <si>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</si>
  <si>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</si>
  <si>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</si>
  <si>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</si>
  <si>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</si>
  <si>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</si>
  <si>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</si>
  <si>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</si>
  <si>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</si>
  <si>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</si>
  <si>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</si>
  <si>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</si>
  <si>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</si>
  <si>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</si>
  <si>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</si>
  <si>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</si>
  <si>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</si>
  <si>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</si>
  <si>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</si>
  <si>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</si>
  <si>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</si>
  <si>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</si>
  <si>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</si>
  <si>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</si>
  <si>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</si>
  <si>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</si>
  <si>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</si>
  <si>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</si>
  <si>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</si>
  <si>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</si>
  <si>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</si>
  <si>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</si>
  <si>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</si>
  <si>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</si>
  <si>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</si>
  <si>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</si>
  <si>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</si>
  <si>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</si>
  <si>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</si>
  <si>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</si>
  <si>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</si>
  <si>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</si>
  <si>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</si>
  <si>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</si>
  <si>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</si>
  <si>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</si>
  <si>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</si>
  <si>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</si>
  <si>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</si>
  <si>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</si>
  <si>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</si>
  <si>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</si>
  <si>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</si>
  <si>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</si>
  <si>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</si>
  <si>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</si>
  <si>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</si>
  <si>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</si>
  <si>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</si>
  <si>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</si>
  <si>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</si>
  <si>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</si>
  <si>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</si>
  <si>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</si>
  <si>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</si>
  <si>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</si>
  <si>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</si>
  <si>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</si>
  <si>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</si>
  <si>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</si>
  <si>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</si>
  <si>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</si>
  <si>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</si>
  <si>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</si>
  <si>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</si>
  <si>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</si>
  <si>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</si>
  <si>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</si>
  <si>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</si>
  <si>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</si>
  <si>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</si>
  <si>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</si>
  <si>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</si>
  <si>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</si>
  <si>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</si>
  <si>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</si>
  <si>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</si>
  <si>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</si>
  <si>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</si>
  <si>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</si>
  <si>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</si>
  <si>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</si>
  <si>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</si>
  <si>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</si>
  <si>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</si>
  <si>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</si>
  <si>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</si>
  <si>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</si>
  <si>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</si>
  <si>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</si>
  <si>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</si>
  <si>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</si>
  <si>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</si>
  <si>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</si>
  <si>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</si>
  <si>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</si>
  <si>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</si>
  <si>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</si>
  <si>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</si>
  <si>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</si>
  <si>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</si>
  <si>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</si>
  <si>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</si>
  <si>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</si>
  <si>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</si>
  <si>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</si>
  <si>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</si>
  <si>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</si>
  <si>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</si>
  <si>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</si>
  <si>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</si>
  <si>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</si>
  <si>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</si>
  <si>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</si>
  <si>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</si>
  <si>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</si>
  <si>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</si>
  <si>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</si>
  <si>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</si>
  <si>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</si>
  <si>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</si>
  <si>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</si>
  <si>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</si>
  <si>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</si>
  <si>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</si>
  <si>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</si>
  <si>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</si>
  <si>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</si>
  <si>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</si>
  <si>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</si>
  <si>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</si>
  <si>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</si>
  <si>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</si>
  <si>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</si>
  <si>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</si>
  <si>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</si>
  <si>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</si>
  <si>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</si>
  <si>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</si>
  <si>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</si>
  <si>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</si>
  <si>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</si>
  <si>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</si>
  <si>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</si>
  <si>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</si>
  <si>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</si>
  <si>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</si>
  <si>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</si>
  <si>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</si>
  <si>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</si>
  <si>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</si>
  <si>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</si>
  <si>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</si>
  <si>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</si>
  <si>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</si>
  <si>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</si>
  <si>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</si>
  <si>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</si>
  <si>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</si>
  <si>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</si>
  <si>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</si>
  <si>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</si>
  <si>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</si>
  <si>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</si>
  <si>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</si>
  <si>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</si>
  <si>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</si>
  <si>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</si>
  <si>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</si>
  <si>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</si>
  <si>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</si>
  <si>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</si>
  <si>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</si>
  <si>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</si>
  <si>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</si>
  <si>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</si>
  <si>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</si>
  <si>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</si>
  <si>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</si>
  <si>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</si>
  <si>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</si>
  <si>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</si>
  <si>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</si>
  <si>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</si>
  <si>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</si>
  <si>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</si>
  <si>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</si>
  <si>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</si>
  <si>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</si>
  <si>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</si>
  <si>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</si>
  <si>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</si>
  <si>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</si>
  <si>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</si>
  <si>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</si>
  <si>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</si>
  <si>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</si>
  <si>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</si>
  <si>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</si>
  <si>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</si>
  <si>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</si>
  <si>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</si>
  <si>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</si>
  <si>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</si>
  <si>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</si>
  <si>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</si>
  <si>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</si>
  <si>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</si>
  <si>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</si>
  <si>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</si>
  <si>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</si>
  <si>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</si>
  <si>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</si>
  <si>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</si>
  <si>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</si>
  <si>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</si>
  <si>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</si>
  <si>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</si>
  <si>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</si>
  <si>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</si>
  <si>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</si>
  <si>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</si>
  <si>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</si>
  <si>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</si>
  <si>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</si>
  <si>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</si>
  <si>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</si>
  <si>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</si>
  <si>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</si>
  <si>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</si>
  <si>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</si>
  <si>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</si>
  <si>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</si>
  <si>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</si>
  <si>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</si>
  <si>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</si>
  <si>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</si>
  <si>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</si>
  <si>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</si>
  <si>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</si>
  <si>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</si>
  <si>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</si>
  <si>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</si>
  <si>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</si>
  <si>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</si>
  <si>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</si>
  <si>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</si>
  <si>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</si>
  <si>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</si>
  <si>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</si>
  <si>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</si>
  <si>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</si>
  <si>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</si>
  <si>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</si>
  <si>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</si>
  <si>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</si>
  <si>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</si>
  <si>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</si>
  <si>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</si>
  <si>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</si>
  <si>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</si>
  <si>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</si>
  <si>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</si>
  <si>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</si>
  <si>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</si>
  <si>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</si>
  <si>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</si>
  <si>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</si>
  <si>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</si>
  <si>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</si>
  <si>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</si>
  <si>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</si>
  <si>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</si>
  <si>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</si>
  <si>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</si>
  <si>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</si>
  <si>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</si>
  <si>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</si>
  <si>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</si>
  <si>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</si>
  <si>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</si>
  <si>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</si>
  <si>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</si>
  <si>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</si>
  <si>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</si>
  <si>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</si>
  <si>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</si>
  <si>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</si>
  <si>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</si>
  <si>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</si>
  <si>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</si>
  <si>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</si>
  <si>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</si>
  <si>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</si>
  <si>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</si>
  <si>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</si>
  <si>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</si>
  <si>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</si>
  <si>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</si>
  <si>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</si>
  <si>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</si>
  <si>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</si>
  <si>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</si>
  <si>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</si>
  <si>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</si>
  <si>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</si>
  <si>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</si>
  <si>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</si>
  <si>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</si>
  <si>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</si>
  <si>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</si>
  <si>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</si>
  <si>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</si>
  <si>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</si>
  <si>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</si>
  <si>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</si>
  <si>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</si>
  <si>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</si>
  <si>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</si>
  <si>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</si>
  <si>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</si>
  <si>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</si>
  <si>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</si>
  <si>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</si>
  <si>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</si>
  <si>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</si>
  <si>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</si>
  <si>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</si>
  <si>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</si>
  <si>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</si>
  <si>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</si>
  <si>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</si>
  <si>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</si>
  <si>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</si>
  <si>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</si>
  <si>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</si>
  <si>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</si>
  <si>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</si>
  <si>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</si>
  <si>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</si>
  <si>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</si>
  <si>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</si>
  <si>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</si>
  <si>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</si>
  <si>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</si>
  <si>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</si>
  <si>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</si>
  <si>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</si>
  <si>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</si>
  <si>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</si>
  <si>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</si>
  <si>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</si>
  <si>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</si>
  <si>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</si>
  <si>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</si>
  <si>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</si>
  <si>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</si>
  <si>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</si>
  <si>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</si>
  <si>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</si>
  <si>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</si>
  <si>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</si>
  <si>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</si>
  <si>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</si>
  <si>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</si>
  <si>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</si>
  <si>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</si>
  <si>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</si>
  <si>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</si>
  <si>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</si>
  <si>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</si>
  <si>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</si>
  <si>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</si>
  <si>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</si>
  <si>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</si>
  <si>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</si>
  <si>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</si>
  <si>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</si>
  <si>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</si>
  <si>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</si>
  <si>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</si>
  <si>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</si>
  <si>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</si>
  <si>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</si>
  <si>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</si>
  <si>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</si>
  <si>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</si>
  <si>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</si>
  <si>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</si>
  <si>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</si>
  <si>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</si>
  <si>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</si>
  <si>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</si>
  <si>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</si>
  <si>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</si>
  <si>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</si>
  <si>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</si>
  <si>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</si>
  <si>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</si>
  <si>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</si>
  <si>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</si>
  <si>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</si>
  <si>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</si>
  <si>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</si>
  <si>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</si>
  <si>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</si>
  <si>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</si>
  <si>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</si>
  <si>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</si>
  <si>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</si>
  <si>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</si>
  <si>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</si>
  <si>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</si>
  <si>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</si>
  <si>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</si>
  <si>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</si>
  <si>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</si>
  <si>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</si>
  <si>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</si>
  <si>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</si>
  <si>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</si>
  <si>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</si>
  <si>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</si>
  <si>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</si>
  <si>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</si>
  <si>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</si>
  <si>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</si>
  <si>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</si>
  <si>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</si>
  <si>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</si>
  <si>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</si>
  <si>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</si>
  <si>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</si>
  <si>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</si>
  <si>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</si>
  <si>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</si>
  <si>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</si>
  <si>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</si>
  <si>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</si>
  <si>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</si>
  <si>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</si>
  <si>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</si>
  <si>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</si>
  <si>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</si>
  <si>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</si>
  <si>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</si>
  <si>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</si>
  <si>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</si>
  <si>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</si>
  <si>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</si>
  <si>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</si>
  <si>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</si>
  <si>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</si>
  <si>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</si>
  <si>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</si>
  <si>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</si>
  <si>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</si>
  <si>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</si>
  <si>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</si>
  <si>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</si>
  <si>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</si>
  <si>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</si>
  <si>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</si>
  <si>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</si>
  <si>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</si>
  <si>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</si>
  <si>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</si>
  <si>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</si>
  <si>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</si>
  <si>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</si>
  <si>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</si>
  <si>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</si>
  <si>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</si>
  <si>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</si>
  <si>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</si>
  <si>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</si>
  <si>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</si>
  <si>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</si>
  <si>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</si>
  <si>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</si>
  <si>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</si>
  <si>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</si>
  <si>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</si>
  <si>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</si>
  <si>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</si>
  <si>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</si>
  <si>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</si>
  <si>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</si>
  <si>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</si>
  <si>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</si>
  <si>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</si>
  <si>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</si>
  <si>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</si>
  <si>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</si>
  <si>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</si>
  <si>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</si>
  <si>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</si>
  <si>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</si>
  <si>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</si>
  <si>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</si>
  <si>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</si>
  <si>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</si>
  <si>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</si>
  <si>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</si>
  <si>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</si>
  <si>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</si>
  <si>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</si>
  <si>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</si>
  <si>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</si>
  <si>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</si>
  <si>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</si>
  <si>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</si>
  <si>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</si>
  <si>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</si>
  <si>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</si>
  <si>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</si>
  <si>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</si>
  <si>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</si>
  <si>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</si>
  <si>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</si>
  <si>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</si>
  <si>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</si>
  <si>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</si>
  <si>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</si>
  <si>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</si>
  <si>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</si>
  <si>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</si>
  <si>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</si>
  <si>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</si>
  <si>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</si>
  <si>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</si>
  <si>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</si>
  <si>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</si>
  <si>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</si>
  <si>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</si>
  <si>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</si>
  <si>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</si>
  <si>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</si>
  <si>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</si>
  <si>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</si>
  <si>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</si>
  <si>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</si>
  <si>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</si>
  <si>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</si>
  <si>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</si>
  <si>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</si>
  <si>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</si>
  <si>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</si>
  <si>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</si>
  <si>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</si>
  <si>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</si>
  <si>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</si>
  <si>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</si>
  <si>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</si>
  <si>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</si>
  <si>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</si>
  <si>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</si>
  <si>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</si>
  <si>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</si>
  <si>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</si>
  <si>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</si>
  <si>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</si>
  <si>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</si>
  <si>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</si>
  <si>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</si>
  <si>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</si>
  <si>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</si>
  <si>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</si>
  <si>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</si>
  <si>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</si>
  <si>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</si>
  <si>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</si>
  <si>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</si>
  <si>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</si>
  <si>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</si>
  <si>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</si>
  <si>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</si>
  <si>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</si>
  <si>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</si>
  <si>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</si>
  <si>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</si>
  <si>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</si>
  <si>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</si>
  <si>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</si>
  <si>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</si>
  <si>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</si>
  <si>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</si>
  <si>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</si>
  <si>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</si>
  <si>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</si>
  <si>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</si>
  <si>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</si>
  <si>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</si>
  <si>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</si>
  <si>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</si>
  <si>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</si>
  <si>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</si>
  <si>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</si>
  <si>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</si>
  <si>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</si>
  <si>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</si>
  <si>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</si>
  <si>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</si>
  <si>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</si>
  <si>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</si>
  <si>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</si>
  <si>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</si>
  <si>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</si>
  <si>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</si>
  <si>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</si>
  <si>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</si>
  <si>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</si>
  <si>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</si>
  <si>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</si>
  <si>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</si>
  <si>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</si>
  <si>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</si>
  <si>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</si>
  <si>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</si>
  <si>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</si>
  <si>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</si>
  <si>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</si>
  <si>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</si>
  <si>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</si>
  <si>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</si>
  <si>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</si>
  <si>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</si>
  <si>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</si>
  <si>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</si>
  <si>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</si>
  <si>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</si>
  <si>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</si>
  <si>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</si>
  <si>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</si>
  <si>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</si>
  <si>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</si>
  <si>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</si>
  <si>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</si>
  <si>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</si>
  <si>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</si>
  <si>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</si>
  <si>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</si>
  <si>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</si>
  <si>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</si>
  <si>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</si>
  <si>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</si>
  <si>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</si>
  <si>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</si>
  <si>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</si>
  <si>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</si>
  <si>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</si>
  <si>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</si>
  <si>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</si>
  <si>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</si>
  <si>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</si>
  <si>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</si>
  <si>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</si>
  <si>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</si>
  <si>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</si>
  <si>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</si>
  <si>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</si>
  <si>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</si>
  <si>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</si>
  <si>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</si>
  <si>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</si>
  <si>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</si>
  <si>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</si>
  <si>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</si>
  <si>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</si>
  <si>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</si>
  <si>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</si>
  <si>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</si>
  <si>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</si>
  <si>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</si>
  <si>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</si>
  <si>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</si>
  <si>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</si>
  <si>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</si>
  <si>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</si>
  <si>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</si>
  <si>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</si>
  <si>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</si>
  <si>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</si>
  <si>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</si>
  <si>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</si>
  <si>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</si>
  <si>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</si>
  <si>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</si>
  <si>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</si>
  <si>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</si>
  <si>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</si>
  <si>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</si>
  <si>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</si>
  <si>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</si>
  <si>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</si>
  <si>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</si>
  <si>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</si>
  <si>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</si>
  <si>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</si>
  <si>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</si>
  <si>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</si>
  <si>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</si>
  <si>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</si>
  <si>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</si>
  <si>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</si>
  <si>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</si>
  <si>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</si>
  <si>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</si>
  <si>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</si>
  <si>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</si>
  <si>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</si>
  <si>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</si>
  <si>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</si>
  <si>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</si>
  <si>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</si>
  <si>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</si>
  <si>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</si>
  <si>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</si>
  <si>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</si>
  <si>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</si>
  <si>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</si>
  <si>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</si>
  <si>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</si>
  <si>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</si>
  <si>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</si>
  <si>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</si>
  <si>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</si>
  <si>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</si>
  <si>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</si>
  <si>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</si>
  <si>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</si>
  <si>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</si>
  <si>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</si>
  <si>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</si>
  <si>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</si>
  <si>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</si>
  <si>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</si>
  <si>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</si>
  <si>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</si>
  <si>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</si>
  <si>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</si>
  <si>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</si>
  <si>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</si>
  <si>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</si>
  <si>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</si>
  <si>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</si>
  <si>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</si>
  <si>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</si>
  <si>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</si>
  <si>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</si>
  <si>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</si>
  <si>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</si>
  <si>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</si>
  <si>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</si>
  <si>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</si>
  <si>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</si>
  <si>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</si>
  <si>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</si>
  <si>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</si>
  <si>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</si>
  <si>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</si>
  <si>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</si>
  <si>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</si>
  <si>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</si>
  <si>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</si>
  <si>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</si>
  <si>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</si>
  <si>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</si>
  <si>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</si>
  <si>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</si>
  <si>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</si>
  <si>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</si>
  <si>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</si>
  <si>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</si>
  <si>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</si>
  <si>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</si>
  <si>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</si>
  <si>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</si>
  <si>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</si>
  <si>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</si>
  <si>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</si>
  <si>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</si>
  <si>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</si>
  <si>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</si>
  <si>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</si>
  <si>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</si>
  <si>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</si>
  <si>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</si>
  <si>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</si>
  <si>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</si>
  <si>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</si>
  <si>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</si>
  <si>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</si>
  <si>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</si>
  <si>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</si>
  <si>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</si>
  <si>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</si>
  <si>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</si>
  <si>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</si>
  <si>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</si>
  <si>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</si>
  <si>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</si>
  <si>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</si>
  <si>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</si>
  <si>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</si>
  <si>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</si>
  <si>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</si>
  <si>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</si>
  <si>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</si>
  <si>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</si>
  <si>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</si>
  <si>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</si>
  <si>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</si>
  <si>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</si>
  <si>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</si>
  <si>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</si>
  <si>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</si>
  <si>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</si>
  <si>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</si>
  <si>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</si>
  <si>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</si>
  <si>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</si>
  <si>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</si>
  <si>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</si>
  <si>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</si>
  <si>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</si>
  <si>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</si>
  <si>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</si>
  <si>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</si>
  <si>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</si>
  <si>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</si>
  <si>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</si>
  <si>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</si>
  <si>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</si>
  <si>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</si>
  <si>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</si>
  <si>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</si>
  <si>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</si>
  <si>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</si>
  <si>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</si>
  <si>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</si>
  <si>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</si>
  <si>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</si>
  <si>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</si>
  <si>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</si>
  <si>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</si>
  <si>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</si>
  <si>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</si>
  <si>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</si>
  <si>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</si>
  <si>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</si>
  <si>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</si>
  <si>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</si>
  <si>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</si>
  <si>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</si>
  <si>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</si>
  <si>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</si>
  <si>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</si>
  <si>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</si>
  <si>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</si>
  <si>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</si>
  <si>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</si>
  <si>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</si>
  <si>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</si>
  <si>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</si>
  <si>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</si>
  <si>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</si>
  <si>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</si>
  <si>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</si>
  <si>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</si>
  <si>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</si>
  <si>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</si>
  <si>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</si>
  <si>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</si>
  <si>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</si>
  <si>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</si>
  <si>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</si>
  <si>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</si>
  <si>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</si>
  <si>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</si>
  <si>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</si>
  <si>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</si>
  <si>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</si>
  <si>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</si>
  <si>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</si>
  <si>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</si>
  <si>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</si>
  <si>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</si>
  <si>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</si>
  <si>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</si>
  <si>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</si>
  <si>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</si>
  <si>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</si>
  <si>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</si>
  <si>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</si>
  <si>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</si>
  <si>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</si>
  <si>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</si>
  <si>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</si>
  <si>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</si>
  <si>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</si>
  <si>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</si>
  <si>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</si>
  <si>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</si>
  <si>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</si>
  <si>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</si>
  <si>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</si>
  <si>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</si>
  <si>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</si>
  <si>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</si>
  <si>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</si>
  <si>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</si>
  <si>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</si>
  <si>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</si>
  <si>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</si>
  <si>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</si>
  <si>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</si>
  <si>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</si>
  <si>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</si>
  <si>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</si>
  <si>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</si>
  <si>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</si>
  <si>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</si>
  <si>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</si>
  <si>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</si>
  <si>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</si>
  <si>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</si>
  <si>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</si>
  <si>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</si>
  <si>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</si>
  <si>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</si>
  <si>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</si>
  <si>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</si>
  <si>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</si>
  <si>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</si>
  <si>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</si>
  <si>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</si>
  <si>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</si>
  <si>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</si>
  <si>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</si>
  <si>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</si>
  <si>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</si>
  <si>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</si>
  <si>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</si>
  <si>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</si>
  <si>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</si>
  <si>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</si>
  <si>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</si>
  <si>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</si>
  <si>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</si>
  <si>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</si>
  <si>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</si>
  <si>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</si>
  <si>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</si>
  <si>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</si>
  <si>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</si>
  <si>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</si>
  <si>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</si>
  <si>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</si>
  <si>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</si>
  <si>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</si>
  <si>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</si>
  <si>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</si>
  <si>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</si>
  <si>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</si>
  <si>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</si>
  <si>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</si>
  <si>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</si>
  <si>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</si>
  <si>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</si>
  <si>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</si>
  <si>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</si>
  <si>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</si>
  <si>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</si>
  <si>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</si>
  <si>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</si>
  <si>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</si>
  <si>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</si>
  <si>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</si>
  <si>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</si>
  <si>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</si>
  <si>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</si>
  <si>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</si>
  <si>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</si>
  <si>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</si>
  <si>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</si>
  <si>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</si>
  <si>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</si>
  <si>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</si>
  <si>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</si>
  <si>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</si>
  <si>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</si>
  <si>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</si>
  <si>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</si>
  <si>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</si>
  <si>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</si>
  <si>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</si>
  <si>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</si>
  <si>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</si>
  <si>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</si>
  <si>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</si>
  <si>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</si>
  <si>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</si>
  <si>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</si>
  <si>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</si>
  <si>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</si>
  <si>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</si>
  <si>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</si>
  <si>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</si>
  <si>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</si>
  <si>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</si>
  <si>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</si>
  <si>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</si>
  <si>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</si>
  <si>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</si>
  <si>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</si>
  <si>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</si>
  <si>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</si>
  <si>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</si>
  <si>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</si>
  <si>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</si>
  <si>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</si>
  <si>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</si>
  <si>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</si>
  <si>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</si>
  <si>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</si>
  <si>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</si>
  <si>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</si>
  <si>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</si>
  <si>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</si>
  <si>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</si>
  <si>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</si>
  <si>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</si>
  <si>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</si>
  <si>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</si>
  <si>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</si>
  <si>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</si>
  <si>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</si>
  <si>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</si>
  <si>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</si>
  <si>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</si>
  <si>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</si>
  <si>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</si>
  <si>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</si>
  <si>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</si>
  <si>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</si>
  <si>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</si>
  <si>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</si>
  <si>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</si>
  <si>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</si>
  <si>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</si>
  <si>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</si>
  <si>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</si>
  <si>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</si>
  <si>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</si>
  <si>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</si>
  <si>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</si>
  <si>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</si>
  <si>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</si>
  <si>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</si>
  <si>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</si>
  <si>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</si>
  <si>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</si>
  <si>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</si>
  <si>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</si>
  <si>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</si>
  <si>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</si>
  <si>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</si>
  <si>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</si>
  <si>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</si>
  <si>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</si>
  <si>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</si>
  <si>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</si>
  <si>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</si>
  <si>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</si>
  <si>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</si>
  <si>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</si>
  <si>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</si>
  <si>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</si>
  <si>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</si>
  <si>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</si>
  <si>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</si>
  <si>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</si>
  <si>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</si>
  <si>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</si>
  <si>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</si>
  <si>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</si>
  <si>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</si>
  <si>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</si>
  <si>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</si>
  <si>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</si>
  <si>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</si>
  <si>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</si>
  <si>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</si>
  <si>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</si>
  <si>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</si>
  <si>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</si>
  <si>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</si>
  <si>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</si>
  <si>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</si>
  <si>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</si>
  <si>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</si>
  <si>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</si>
  <si>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</si>
  <si>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</si>
  <si>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</si>
  <si>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</si>
  <si>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</si>
  <si>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</si>
  <si>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</si>
  <si>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</si>
  <si>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</si>
  <si>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</si>
  <si>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</si>
  <si>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</si>
  <si>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</si>
  <si>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</si>
  <si>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</si>
  <si>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</si>
  <si>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</si>
  <si>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</si>
  <si>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</si>
  <si>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</si>
  <si>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</si>
  <si>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</si>
  <si>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</si>
  <si>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</si>
  <si>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</si>
  <si>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</si>
  <si>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</si>
  <si>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</si>
  <si>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</si>
  <si>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</si>
  <si>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</si>
  <si>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</si>
  <si>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</si>
  <si>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</si>
  <si>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</si>
  <si>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</si>
  <si>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</si>
  <si>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</si>
  <si>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</si>
  <si>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</si>
  <si>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</si>
  <si>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</si>
  <si>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</si>
  <si>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</si>
  <si>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</si>
  <si>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</si>
  <si>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</si>
  <si>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</si>
  <si>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</si>
  <si>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</si>
  <si>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</si>
  <si>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</si>
  <si>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</si>
  <si>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</si>
  <si>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</si>
  <si>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</si>
  <si>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</si>
  <si>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</si>
  <si>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</si>
  <si>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</si>
  <si>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</si>
  <si>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</si>
  <si>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</si>
  <si>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</si>
  <si>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</si>
  <si>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</si>
  <si>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</si>
  <si>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</si>
  <si>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</si>
  <si>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</si>
  <si>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</si>
  <si>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</si>
  <si>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</si>
  <si>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</si>
  <si>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</si>
  <si>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</si>
  <si>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</si>
  <si>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</si>
  <si>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</si>
  <si>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</si>
  <si>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</si>
  <si>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</si>
  <si>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</si>
  <si>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</si>
  <si>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</si>
  <si>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</si>
  <si>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</si>
  <si>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</si>
  <si>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</si>
  <si>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</si>
  <si>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</si>
  <si>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</si>
  <si>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</si>
  <si>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</si>
  <si>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</si>
  <si>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</si>
  <si>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</si>
  <si>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</si>
  <si>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</si>
  <si>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</si>
  <si>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</si>
  <si>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</si>
  <si>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</si>
  <si>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</si>
  <si>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</si>
  <si>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</si>
  <si>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</si>
  <si>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</si>
  <si>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</si>
  <si>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</si>
  <si>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</si>
  <si>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</si>
  <si>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</si>
  <si>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</si>
  <si>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</si>
  <si>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</si>
  <si>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</si>
  <si>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</si>
  <si>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</si>
  <si>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</si>
  <si>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</si>
  <si>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</si>
  <si>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</si>
  <si>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</si>
  <si>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</si>
  <si>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</si>
  <si>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</si>
  <si>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</si>
  <si>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</si>
  <si>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</si>
  <si>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</si>
  <si>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</si>
  <si>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</si>
  <si>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</si>
  <si>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</si>
  <si>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</si>
  <si>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</si>
  <si>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</si>
  <si>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</si>
  <si>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</si>
  <si>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</si>
  <si>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</si>
  <si>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</si>
  <si>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</si>
  <si>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</si>
  <si>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</si>
  <si>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</si>
  <si>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</si>
  <si>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</si>
  <si>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</si>
  <si>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</si>
  <si>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</si>
  <si>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</si>
  <si>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</si>
  <si>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</si>
  <si>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</si>
  <si>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</si>
  <si>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</si>
  <si>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</si>
  <si>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</si>
  <si>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</si>
  <si>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</si>
  <si>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</si>
  <si>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</si>
  <si>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</si>
  <si>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</si>
  <si>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</si>
  <si>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</si>
  <si>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</si>
  <si>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</si>
  <si>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</si>
  <si>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</si>
  <si>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</si>
  <si>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</si>
  <si>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</si>
  <si>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</si>
  <si>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</si>
  <si>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</si>
  <si>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</si>
  <si>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</si>
  <si>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</si>
  <si>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</si>
  <si>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</si>
  <si>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</si>
  <si>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</si>
  <si>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</si>
  <si>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</si>
  <si>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</si>
  <si>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</si>
  <si>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</si>
  <si>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</si>
  <si>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</si>
  <si>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</si>
  <si>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</si>
  <si>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</si>
  <si>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</si>
  <si>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</si>
  <si>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</si>
  <si>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</si>
  <si>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</si>
  <si>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</si>
  <si>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</si>
  <si>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</si>
  <si>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</si>
  <si>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</si>
  <si>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</si>
  <si>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</si>
  <si>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</si>
  <si>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</si>
  <si>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</si>
  <si>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</si>
  <si>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</si>
  <si>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</si>
  <si>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</si>
  <si>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</si>
  <si>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</si>
  <si>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</si>
  <si>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</si>
  <si>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</si>
  <si>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</si>
  <si>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</si>
  <si>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</si>
  <si>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</si>
  <si>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</si>
  <si>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</si>
  <si>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</si>
  <si>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</si>
  <si>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</si>
  <si>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</si>
  <si>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</si>
  <si>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</si>
  <si>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</si>
  <si>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</si>
  <si>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</si>
  <si>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</si>
  <si>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</si>
  <si>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</si>
  <si>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</si>
  <si>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</si>
  <si>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</si>
  <si>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</si>
  <si>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</si>
  <si>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</si>
  <si>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</si>
  <si>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</si>
  <si>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</si>
  <si>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</si>
  <si>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</si>
  <si>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</si>
  <si>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</si>
  <si>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</si>
  <si>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</si>
  <si>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</si>
  <si>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</si>
  <si>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</si>
  <si>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</si>
  <si>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</si>
  <si>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</si>
  <si>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</si>
  <si>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</si>
  <si>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</si>
  <si>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</si>
  <si>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</si>
  <si>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</si>
  <si>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</si>
  <si>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</si>
  <si>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</si>
  <si>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</si>
  <si>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</si>
  <si>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</si>
  <si>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</si>
  <si>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</si>
  <si>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</si>
  <si>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</si>
  <si>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</si>
  <si>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</si>
  <si>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</si>
  <si>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</si>
  <si>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</si>
  <si>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</si>
  <si>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</si>
  <si>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</si>
  <si>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</si>
  <si>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</si>
  <si>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</si>
  <si>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</si>
  <si>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</si>
  <si>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</si>
  <si>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</si>
  <si>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</si>
  <si>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</si>
  <si>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</si>
  <si>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</si>
  <si>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</si>
  <si>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</si>
  <si>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</si>
  <si>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</si>
  <si>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</si>
  <si>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</si>
  <si>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</si>
  <si>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</si>
  <si>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</si>
  <si>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</si>
  <si>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</si>
  <si>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</si>
  <si>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</si>
  <si>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</si>
  <si>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</si>
  <si>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</si>
  <si>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</si>
  <si>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</si>
  <si>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</si>
  <si>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</si>
  <si>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</si>
  <si>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</si>
  <si>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</si>
  <si>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</si>
  <si>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</si>
  <si>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</si>
  <si>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</si>
  <si>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</si>
  <si>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</si>
  <si>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</si>
  <si>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</si>
  <si>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</si>
  <si>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</si>
  <si>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</si>
  <si>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</si>
  <si>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</si>
  <si>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</si>
  <si>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</si>
  <si>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</si>
  <si>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</si>
  <si>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</si>
  <si>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</si>
  <si>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</si>
  <si>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</si>
  <si>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</si>
  <si>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</si>
  <si>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</si>
  <si>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</si>
  <si>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</si>
  <si>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</si>
  <si>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</si>
  <si>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</si>
  <si>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</si>
  <si>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</si>
  <si>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</si>
  <si>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</si>
  <si>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</si>
  <si>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</si>
  <si>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</si>
  <si>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</si>
  <si>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</si>
  <si>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</si>
  <si>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</si>
  <si>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</si>
  <si>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</si>
  <si>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</si>
  <si>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</si>
  <si>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</si>
  <si>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</si>
  <si>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</si>
  <si>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</si>
  <si>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</si>
  <si>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</si>
  <si>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</si>
  <si>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</si>
  <si>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</si>
  <si>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</si>
  <si>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</si>
  <si>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</si>
  <si>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</si>
  <si>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</si>
  <si>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</si>
  <si>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</si>
  <si>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</si>
  <si>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</si>
  <si>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</si>
  <si>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</si>
  <si>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</si>
  <si>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</si>
  <si>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</si>
  <si>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</si>
  <si>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</si>
  <si>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</si>
  <si>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</si>
  <si>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</si>
  <si>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</si>
  <si>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</si>
  <si>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</si>
  <si>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</si>
  <si>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</si>
  <si>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</si>
  <si>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</si>
  <si>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</si>
  <si>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</si>
  <si>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</si>
  <si>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</si>
  <si>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</si>
  <si>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</si>
  <si>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</si>
  <si>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</si>
  <si>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</si>
  <si>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</si>
  <si>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</si>
  <si>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</si>
  <si>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</si>
  <si>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</si>
  <si>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</si>
  <si>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</si>
  <si>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</si>
  <si>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</si>
  <si>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</si>
  <si>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</si>
  <si>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</si>
  <si>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</si>
  <si>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</si>
  <si>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</si>
  <si>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</si>
  <si>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</si>
  <si>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</si>
  <si>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</si>
  <si>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</si>
  <si>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</si>
  <si>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</si>
  <si>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</si>
  <si>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</si>
  <si>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</si>
  <si>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</si>
  <si>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</si>
  <si>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</si>
  <si>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</si>
  <si>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</si>
  <si>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</si>
  <si>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</si>
  <si>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</si>
  <si>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</si>
  <si>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</si>
  <si>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</si>
  <si>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</si>
  <si>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</si>
  <si>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</si>
  <si>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</si>
  <si>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</si>
  <si>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</si>
  <si>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</si>
  <si>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</si>
  <si>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</si>
  <si>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</si>
  <si>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</si>
  <si>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</si>
  <si>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</si>
  <si>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</si>
  <si>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</si>
  <si>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</si>
  <si>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</si>
  <si>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</si>
  <si>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</si>
  <si>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</si>
  <si>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</si>
  <si>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</si>
  <si>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</si>
  <si>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</si>
  <si>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</si>
  <si>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</si>
  <si>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</si>
  <si>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</si>
  <si>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</si>
  <si>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</si>
  <si>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</si>
  <si>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</si>
  <si>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</si>
  <si>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</si>
  <si>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</si>
  <si>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</si>
  <si>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</si>
  <si>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</si>
  <si>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</si>
  <si>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</si>
  <si>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</si>
  <si>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</si>
  <si>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</si>
  <si>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</si>
  <si>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</si>
  <si>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</si>
  <si>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</si>
  <si>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</si>
  <si>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</si>
  <si>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</si>
  <si>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</si>
  <si>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</si>
  <si>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</si>
  <si>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</si>
  <si>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</si>
  <si>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</si>
  <si>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</si>
  <si>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</si>
  <si>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</si>
  <si>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</si>
  <si>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</si>
  <si>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</si>
  <si>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</si>
  <si>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</si>
  <si>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</si>
  <si>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</si>
  <si>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</si>
  <si>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</si>
  <si>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</si>
  <si>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</si>
  <si>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</si>
  <si>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</si>
  <si>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</si>
  <si>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</si>
  <si>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</si>
  <si>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</si>
  <si>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</si>
  <si>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</si>
  <si>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</si>
  <si>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</si>
  <si>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</si>
  <si>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</si>
  <si>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</si>
  <si>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</si>
  <si>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</si>
  <si>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</si>
  <si>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</si>
  <si>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</si>
  <si>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</si>
  <si>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</si>
  <si>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</si>
  <si>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</si>
  <si>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</si>
  <si>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</si>
  <si>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</si>
  <si>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</si>
  <si>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</si>
  <si>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</si>
  <si>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</si>
  <si>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</si>
  <si>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</si>
  <si>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</si>
  <si>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</si>
  <si>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</si>
  <si>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</si>
  <si>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</si>
  <si>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</si>
  <si>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</si>
  <si>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</si>
  <si>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</si>
  <si>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</si>
  <si>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</si>
  <si>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</si>
  <si>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</si>
  <si>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</si>
  <si>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</si>
  <si>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</si>
  <si>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</si>
  <si>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</si>
  <si>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</si>
  <si>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</si>
  <si>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</si>
  <si>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</si>
  <si>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</si>
  <si>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</si>
  <si>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</si>
  <si>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</si>
  <si>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</si>
  <si>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</si>
  <si>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</si>
  <si>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</si>
  <si>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</si>
  <si>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</si>
  <si>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</si>
  <si>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</si>
  <si>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</si>
  <si>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</si>
  <si>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</si>
  <si>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</si>
  <si>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</si>
  <si>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</si>
  <si>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</si>
  <si>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</si>
  <si>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</si>
  <si>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</si>
  <si>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</si>
  <si>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</si>
  <si>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</si>
  <si>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</si>
  <si>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</si>
  <si>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</si>
  <si>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</si>
  <si>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</si>
  <si>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</si>
  <si>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</si>
  <si>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</si>
  <si>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</si>
  <si>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</si>
  <si>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</si>
  <si>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</si>
  <si>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</si>
  <si>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</si>
  <si>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</si>
  <si>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</si>
  <si>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</si>
  <si>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</si>
  <si>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</si>
  <si>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</si>
  <si>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</si>
  <si>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</si>
  <si>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</si>
  <si>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</si>
  <si>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</si>
  <si>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</si>
  <si>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</si>
  <si>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</si>
  <si>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</si>
  <si>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</si>
  <si>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</si>
  <si>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</si>
  <si>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</si>
  <si>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</si>
  <si>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</si>
  <si>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</si>
  <si>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</si>
  <si>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</si>
  <si>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</si>
  <si>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</si>
  <si>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</si>
  <si>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</si>
  <si>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</si>
  <si>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</si>
  <si>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</si>
  <si>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</si>
  <si>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</si>
  <si>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</si>
  <si>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</si>
  <si>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</si>
  <si>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</si>
  <si>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</si>
  <si>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</si>
  <si>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</si>
  <si>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</si>
  <si>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</si>
  <si>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</si>
  <si>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</si>
  <si>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</si>
  <si>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</si>
  <si>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</si>
  <si>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</si>
  <si>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</si>
  <si>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</si>
  <si>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FANGO</t>
  </si>
  <si>
    <t xml:space="preserve">FANGO A GALERIA</t>
  </si>
  <si>
    <t xml:space="preserve">06222600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</si>
  <si>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</si>
  <si>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</si>
  <si>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</si>
  <si>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</si>
  <si>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</si>
  <si>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</si>
  <si>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</si>
  <si>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</si>
  <si>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</si>
  <si>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</si>
  <si>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</si>
  <si>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</si>
  <si>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</si>
  <si>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</si>
  <si>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</si>
  <si>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</si>
  <si>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</si>
  <si>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</si>
  <si>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</si>
  <si>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</si>
  <si>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</si>
  <si>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</si>
  <si>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</si>
  <si>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</si>
  <si>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</si>
  <si>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</si>
  <si>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</si>
  <si>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</si>
  <si>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</si>
  <si>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</si>
  <si>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</si>
  <si>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</si>
  <si>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</si>
  <si>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</si>
  <si>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</si>
  <si>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</si>
  <si>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</si>
  <si>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</si>
  <si>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</si>
  <si>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</si>
  <si>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</si>
  <si>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</si>
  <si>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</si>
  <si>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</si>
  <si>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</si>
  <si>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</si>
  <si>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</si>
  <si>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</si>
  <si>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</si>
  <si>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</si>
  <si>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</si>
  <si>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</si>
  <si>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</si>
  <si>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</si>
  <si>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</si>
  <si>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</si>
  <si>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</si>
  <si>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</si>
  <si>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</si>
  <si>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</si>
  <si>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</si>
  <si>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</si>
  <si>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</si>
  <si>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</si>
  <si>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</si>
  <si>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</si>
  <si>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</si>
  <si>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</si>
  <si>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NEWCOD</t>
  </si>
  <si>
    <t xml:space="preserve">Cf.</t>
  </si>
  <si>
    <t xml:space="preserve">Blennothrix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</si>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</sst>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42915</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12.6315789473684</v>
      </c>
      <c r="N5" s="327"/>
      <c r="O5" s="328" t="s">
        <v>894</v>
      </c>
      <c r="P5" s="329" t="n">
        <v>12.375</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2</v>
      </c>
      <c r="P6" s="341" t="s">
        <v>3392</v>
      </c>
      <c r="Q6" s="342"/>
      <c r="R6" s="285"/>
      <c r="S6" s="285"/>
      <c r="T6" s="285"/>
      <c r="U6" s="285"/>
      <c r="V6" s="285"/>
      <c r="W6" s="299"/>
    </row>
    <row r="7" customFormat="false" ht="12.75" hidden="false" customHeight="false" outlineLevel="0" collapsed="false">
      <c r="A7" s="343" t="s">
        <v>3393</v>
      </c>
      <c r="B7" s="344" t="n">
        <v>43</v>
      </c>
      <c r="C7" s="345" t="n">
        <v>57</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12.1</v>
      </c>
      <c r="P8" s="359" t="n">
        <f aca="false">IF(ISERROR(AVERAGE(K23:K82)),"  ",AVERAGE(K23:K82))</f>
        <v>1.8</v>
      </c>
      <c r="Q8" s="360"/>
      <c r="R8" s="285"/>
      <c r="S8" s="285"/>
      <c r="T8" s="285"/>
      <c r="U8" s="285"/>
      <c r="V8" s="285"/>
      <c r="W8" s="299"/>
    </row>
    <row r="9" customFormat="false" ht="12.75" hidden="false" customHeight="false" outlineLevel="0" collapsed="false">
      <c r="A9" s="317" t="s">
        <v>3399</v>
      </c>
      <c r="B9" s="344" t="n">
        <v>1</v>
      </c>
      <c r="C9" s="345" t="n">
        <v>1</v>
      </c>
      <c r="D9" s="361"/>
      <c r="E9" s="361"/>
      <c r="F9" s="362" t="n">
        <f aca="false">($B9*$B$7+$C9*$C$7)/100</f>
        <v>1</v>
      </c>
      <c r="G9" s="363"/>
      <c r="H9" s="320"/>
      <c r="I9" s="285"/>
      <c r="J9" s="364"/>
      <c r="K9" s="365"/>
      <c r="L9" s="350"/>
      <c r="M9" s="366"/>
      <c r="N9" s="358" t="s">
        <v>3400</v>
      </c>
      <c r="O9" s="359" t="n">
        <f aca="false">IF(ISERROR(STDEVP(J23:J82))," ",STDEVP(J23:J82))</f>
        <v>2.94788059459673</v>
      </c>
      <c r="P9" s="359" t="n">
        <f aca="false">IF(ISERROR(STDEVP(K23:K82)),"  ",STDEVP(K23:K82))</f>
        <v>0.748331477354788</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9</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4</v>
      </c>
      <c r="M13" s="382"/>
      <c r="N13" s="390" t="s">
        <v>3412</v>
      </c>
      <c r="O13" s="391" t="n">
        <f aca="false">COUNTIF(F23:F82,"&gt;0")</f>
        <v>17</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10</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2</v>
      </c>
      <c r="M15" s="382"/>
      <c r="N15" s="390" t="s">
        <v>3418</v>
      </c>
      <c r="O15" s="391" t="n">
        <f aca="false">COUNTIF(K23:K82,"=1")</f>
        <v>4</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4</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0.647058823529412</v>
      </c>
      <c r="N17" s="390" t="s">
        <v>3423</v>
      </c>
      <c r="O17" s="391" t="n">
        <f aca="false">COUNTIF(K23:K82,"=3")</f>
        <v>2</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0.72</v>
      </c>
      <c r="C20" s="434" t="n">
        <f aca="false">SUM(C23:C82)</f>
        <v>0.58</v>
      </c>
      <c r="D20" s="435"/>
      <c r="E20" s="436" t="s">
        <v>3425</v>
      </c>
      <c r="F20" s="437" t="n">
        <f aca="false">($B20*$B$7+$C20*$C$7)/100</f>
        <v>0.6402</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0.3096</v>
      </c>
      <c r="C21" s="445" t="n">
        <f aca="false">C20*C7/100</f>
        <v>0.3306</v>
      </c>
      <c r="D21" s="446" t="s">
        <v>3428</v>
      </c>
      <c r="E21" s="447"/>
      <c r="F21" s="448" t="n">
        <f aca="false">B21+C21</f>
        <v>0.6402</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217</v>
      </c>
      <c r="B23" s="474" t="n">
        <v>0.05</v>
      </c>
      <c r="C23" s="475"/>
      <c r="D23" s="476" t="str">
        <f aca="false">IF(ISERROR(VLOOKUP($A23,'liste reference'!$A$6:$B$1174,2,0)),IF(ISERROR(VLOOKUP($A23,'liste reference'!$B$6:$B$1174,1,0)),"",VLOOKUP($A23,'liste reference'!$B$6:$B$1174,1,0)),VLOOKUP($A23,'liste reference'!$A$6:$B$1174,2,0))</f>
        <v>Lemanea sp.</v>
      </c>
      <c r="E23" s="477" t="e">
        <f aca="false">IF(D23="",,VLOOKUP(D23,D$22:D22,1,0))</f>
        <v>#N/A</v>
      </c>
      <c r="F23" s="478" t="n">
        <f aca="false">IF(AND(OR(A23="",A23="!!!!!!"),B23="",C23=""),"",IF(OR(AND(B23="",C23=""),ISERROR(C23+B23)),"!!!",($B23*$B$7+$C23*$C$7)/100))</f>
        <v>0.0215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15</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Lemanea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1159</v>
      </c>
      <c r="R23" s="486" t="n">
        <f aca="false">IF(ISTEXT(H23),"",(B23*$B$7/100)+(C23*$C$7/100))</f>
        <v>0.0215</v>
      </c>
      <c r="S23" s="487" t="n">
        <f aca="false">IF(OR(ISTEXT(H23),R23=0),"",IF(R23&lt;0.1,1,IF(R23&lt;1,2,IF(R23&lt;10,3,IF(R23&lt;50,4,IF(R23&gt;=50,5,""))))))</f>
        <v>1</v>
      </c>
      <c r="T23" s="487" t="n">
        <f aca="false">IF(ISERROR(S23*J23),0,S23*J23)</f>
        <v>15</v>
      </c>
      <c r="U23" s="487" t="n">
        <f aca="false">IF(ISERROR(S23*J23*K23),0,S23*J23*K23)</f>
        <v>30</v>
      </c>
      <c r="V23" s="487" t="n">
        <f aca="false">IF(ISERROR(S23*K23),0,S23*K23)</f>
        <v>2</v>
      </c>
      <c r="W23" s="488"/>
      <c r="X23" s="489"/>
      <c r="Y23" s="487" t="str">
        <f aca="false">IF(AND(ISNUMBER(F23),OR(A23="",A23="!!!!!!")),"!!!!!!",IF(A23="new.cod","NEWCOD",IF(AND((Z23=""),ISTEXT(A23),A23&lt;&gt;"!!!!!!"),A23,IF(Z23="","",INDEX('liste reference'!$A$6:$A$1174,Z23)))))</f>
        <v>LEASPX</v>
      </c>
      <c r="Z23" s="472" t="n">
        <f aca="false">IF(ISERROR(MATCH(A23,'liste reference'!$A$6:$A$1174,0)),IF(ISERROR(MATCH(A23,'liste reference'!$B$6:$B$1174,0)),"",(MATCH(A23,'liste reference'!$B$6:$B$1174,0))),(MATCH(A23,'liste reference'!$A$6:$A$1174,0)))</f>
        <v>59</v>
      </c>
    </row>
    <row r="24" customFormat="false" ht="12.75" hidden="false" customHeight="false" outlineLevel="0" collapsed="false">
      <c r="A24" s="490" t="s">
        <v>234</v>
      </c>
      <c r="B24" s="491" t="n">
        <v>0.15</v>
      </c>
      <c r="C24" s="492" t="n">
        <v>0.01</v>
      </c>
      <c r="D24" s="493" t="str">
        <f aca="false">IF(ISERROR(VLOOKUP($A24,'liste reference'!$A$6:$B$1174,2,0)),IF(ISERROR(VLOOKUP($A24,'liste reference'!$B$6:$B$1174,1,0)),"",VLOOKUP($A24,'liste reference'!$B$6:$B$1174,1,0)),VLOOKUP($A24,'liste reference'!$A$6:$B$1174,2,0))</f>
        <v>Microcoleus sp.</v>
      </c>
      <c r="E24" s="494" t="e">
        <f aca="false">IF(D24="",,VLOOKUP(D24,D$22:D23,1,0))</f>
        <v>#N/A</v>
      </c>
      <c r="F24" s="495" t="n">
        <f aca="false">IF(AND(OR(A24="",A24="!!!!!!"),B24="",C24=""),"",IF(OR(AND(B24="",C24=""),ISERROR(C24+B24)),"!!!",($B24*$B$7+$C24*$C$7)/100))</f>
        <v>0.0702</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str">
        <f aca="false">IF(ISNUMBER($H24),IF(ISERROR(VLOOKUP($A24,'liste reference'!$A$6:$Q$1174,6,0)),IF(ISERROR(VLOOKUP($A24,'liste reference'!$B$6:$Q$1174,5,0)),"nu",VLOOKUP($A24,'liste reference'!$B$6:$Q$1174,5,0)),VLOOKUP($A24,'liste reference'!$A$6:$Q$1174,6,0)),"nu")</f>
        <v>nc</v>
      </c>
      <c r="K24" s="498" t="str">
        <f aca="false">IF(ISNUMBER($H24),IF(ISERROR(VLOOKUP($A24,'liste reference'!$A$6:$Q$1174,7,0)),IF(ISERROR(VLOOKUP($A24,'liste reference'!$B$6:$Q$1174,6,0)),"nu",VLOOKUP($A24,'liste reference'!$B$6:$Q$1174,6,0)),VLOOKUP($A24,'liste reference'!$A$6:$Q$1174,7,0)),"nu")</f>
        <v>nc</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Microcoleus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6405</v>
      </c>
      <c r="R24" s="486" t="n">
        <f aca="false">IF(ISTEXT(H24),"",(B24*$B$7/100)+(C24*$C$7/100))</f>
        <v>0.0702</v>
      </c>
      <c r="S24" s="487" t="n">
        <f aca="false">IF(OR(ISTEXT(H24),R24=0),"",IF(R24&lt;0.1,1,IF(R24&lt;1,2,IF(R24&lt;10,3,IF(R24&lt;50,4,IF(R24&gt;=50,5,""))))))</f>
        <v>1</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MIRSPX</v>
      </c>
      <c r="Z24" s="472" t="n">
        <f aca="false">IF(ISERROR(MATCH(A24,'liste reference'!$A$6:$A$1174,0)),IF(ISERROR(MATCH(A24,'liste reference'!$B$6:$B$1174,0)),"",(MATCH(A24,'liste reference'!$B$6:$B$1174,0))),(MATCH(A24,'liste reference'!$A$6:$A$1174,0)))</f>
        <v>64</v>
      </c>
    </row>
    <row r="25" customFormat="false" ht="12.75" hidden="false" customHeight="false" outlineLevel="0" collapsed="false">
      <c r="A25" s="490" t="s">
        <v>300</v>
      </c>
      <c r="B25" s="491" t="n">
        <v>0.2</v>
      </c>
      <c r="C25" s="492"/>
      <c r="D25" s="493" t="str">
        <f aca="false">IF(ISERROR(VLOOKUP($A25,'liste reference'!$A$6:$B$1174,2,0)),IF(ISERROR(VLOOKUP($A25,'liste reference'!$B$6:$B$1174,1,0)),"",VLOOKUP($A25,'liste reference'!$B$6:$B$1174,1,0)),VLOOKUP($A25,'liste reference'!$A$6:$B$1174,2,0))</f>
        <v>Oedogonium sp.</v>
      </c>
      <c r="E25" s="494" t="e">
        <f aca="false">IF(D25="",,VLOOKUP(D25,D$22:D24,1,0))</f>
        <v>#N/A</v>
      </c>
      <c r="F25" s="495" t="n">
        <f aca="false">IF(AND(OR(A25="",A25="!!!!!!"),B25="",C25=""),"",IF(OR(AND(B25="",C25=""),ISERROR(C25+B25)),"!!!",($B25*$B$7+$C25*$C$7)/100))</f>
        <v>0.086</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6</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Oedogonium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1134</v>
      </c>
      <c r="R25" s="486" t="n">
        <f aca="false">IF(ISTEXT(H25),"",(B25*$B$7/100)+(C25*$C$7/100))</f>
        <v>0.086</v>
      </c>
      <c r="S25" s="487" t="n">
        <f aca="false">IF(OR(ISTEXT(H25),R25=0),"",IF(R25&lt;0.1,1,IF(R25&lt;1,2,IF(R25&lt;10,3,IF(R25&lt;50,4,IF(R25&gt;=50,5,""))))))</f>
        <v>1</v>
      </c>
      <c r="T25" s="487" t="n">
        <f aca="false">IF(ISERROR(S25*J25),0,S25*J25)</f>
        <v>6</v>
      </c>
      <c r="U25" s="487" t="n">
        <f aca="false">IF(ISERROR(S25*J25*K25),0,S25*J25*K25)</f>
        <v>12</v>
      </c>
      <c r="V25" s="502" t="n">
        <f aca="false">IF(ISERROR(S25*K25),0,S25*K25)</f>
        <v>2</v>
      </c>
      <c r="W25" s="503"/>
      <c r="X25" s="504"/>
      <c r="Y25" s="487" t="str">
        <f aca="false">IF(AND(ISNUMBER(F25),OR(A25="",A25="!!!!!!")),"!!!!!!",IF(A25="new.cod","NEWCOD",IF(AND((Z25=""),ISTEXT(A25),A25&lt;&gt;"!!!!!!"),A25,IF(Z25="","",INDEX('liste reference'!$A$6:$A$1174,Z25)))))</f>
        <v>OEDSPX</v>
      </c>
      <c r="Z25" s="472" t="n">
        <f aca="false">IF(ISERROR(MATCH(A25,'liste reference'!$A$6:$A$1174,0)),IF(ISERROR(MATCH(A25,'liste reference'!$B$6:$B$1174,0)),"",(MATCH(A25,'liste reference'!$B$6:$B$1174,0))),(MATCH(A25,'liste reference'!$A$6:$A$1174,0)))</f>
        <v>85</v>
      </c>
    </row>
    <row r="26" customFormat="false" ht="12.75" hidden="false" customHeight="false" outlineLevel="0" collapsed="false">
      <c r="A26" s="490" t="s">
        <v>336</v>
      </c>
      <c r="B26" s="491" t="n">
        <v>0.01</v>
      </c>
      <c r="C26" s="492"/>
      <c r="D26" s="493" t="str">
        <f aca="false">IF(ISERROR(VLOOKUP($A26,'liste reference'!$A$6:$B$1174,2,0)),IF(ISERROR(VLOOKUP($A26,'liste reference'!$B$6:$B$1174,1,0)),"",VLOOKUP($A26,'liste reference'!$B$6:$B$1174,1,0)),VLOOKUP($A26,'liste reference'!$A$6:$B$1174,2,0))</f>
        <v>Scytonema sp.</v>
      </c>
      <c r="E26" s="494" t="e">
        <f aca="false">IF(D26="",,VLOOKUP(D26,D$22:D25,1,0))</f>
        <v>#N/A</v>
      </c>
      <c r="F26" s="495" t="n">
        <f aca="false">IF(AND(OR(A26="",A26="!!!!!!"),B26="",C26=""),"",IF(OR(AND(B26="",C26=""),ISERROR(C26+B26)),"!!!",($B26*$B$7+$C26*$C$7)/100))</f>
        <v>0.0043</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Scytonema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1114</v>
      </c>
      <c r="R26" s="486" t="n">
        <f aca="false">IF(ISTEXT(H26),"",(B26*$B$7/100)+(C26*$C$7/100))</f>
        <v>0.0043</v>
      </c>
      <c r="S26" s="487" t="n">
        <f aca="false">IF(OR(ISTEXT(H26),R26=0),"",IF(R26&lt;0.1,1,IF(R26&lt;1,2,IF(R26&lt;10,3,IF(R26&lt;50,4,IF(R26&gt;=50,5,""))))))</f>
        <v>1</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SCYSPX</v>
      </c>
      <c r="Z26" s="472" t="n">
        <f aca="false">IF(ISERROR(MATCH(A26,'liste reference'!$A$6:$A$1174,0)),IF(ISERROR(MATCH(A26,'liste reference'!$B$6:$B$1174,0)),"",(MATCH(A26,'liste reference'!$B$6:$B$1174,0))),(MATCH(A26,'liste reference'!$A$6:$A$1174,0)))</f>
        <v>99</v>
      </c>
    </row>
    <row r="27" customFormat="false" ht="12.75" hidden="false" customHeight="false" outlineLevel="0" collapsed="false">
      <c r="A27" s="490" t="s">
        <v>343</v>
      </c>
      <c r="B27" s="491" t="n">
        <v>0.1</v>
      </c>
      <c r="C27" s="492"/>
      <c r="D27" s="493" t="str">
        <f aca="false">IF(ISERROR(VLOOKUP($A27,'liste reference'!$A$6:$B$1174,2,0)),IF(ISERROR(VLOOKUP($A27,'liste reference'!$B$6:$B$1174,1,0)),"",VLOOKUP($A27,'liste reference'!$B$6:$B$1174,1,0)),VLOOKUP($A27,'liste reference'!$A$6:$B$1174,2,0))</f>
        <v>Spirogyra sp.</v>
      </c>
      <c r="E27" s="494" t="e">
        <f aca="false">IF(D27="",,VLOOKUP(D27,D$22:D26,1,0))</f>
        <v>#N/A</v>
      </c>
      <c r="F27" s="495" t="n">
        <f aca="false">IF(AND(OR(A27="",A27="!!!!!!"),B27="",C27=""),"",IF(OR(AND(B27="",C27=""),ISERROR(C27+B27)),"!!!",($B27*$B$7+$C27*$C$7)/100))</f>
        <v>0.043</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10</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Spirogyra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1147</v>
      </c>
      <c r="R27" s="486" t="n">
        <f aca="false">IF(ISTEXT(H27),"",(B27*$B$7/100)+(C27*$C$7/100))</f>
        <v>0.043</v>
      </c>
      <c r="S27" s="487" t="n">
        <f aca="false">IF(OR(ISTEXT(H27),R27=0),"",IF(R27&lt;0.1,1,IF(R27&lt;1,2,IF(R27&lt;10,3,IF(R27&lt;50,4,IF(R27&gt;=50,5,""))))))</f>
        <v>1</v>
      </c>
      <c r="T27" s="487" t="n">
        <f aca="false">IF(ISERROR(S27*J27),0,S27*J27)</f>
        <v>10</v>
      </c>
      <c r="U27" s="487" t="n">
        <f aca="false">IF(ISERROR(S27*J27*K27),0,S27*J27*K27)</f>
        <v>10</v>
      </c>
      <c r="V27" s="502" t="n">
        <f aca="false">IF(ISERROR(S27*K27),0,S27*K27)</f>
        <v>1</v>
      </c>
      <c r="W27" s="503"/>
      <c r="X27" s="504"/>
      <c r="Y27" s="487" t="str">
        <f aca="false">IF(AND(ISNUMBER(F27),OR(A27="",A27="!!!!!!")),"!!!!!!",IF(A27="new.cod","NEWCOD",IF(AND((Z27=""),ISTEXT(A27),A27&lt;&gt;"!!!!!!"),A27,IF(Z27="","",INDEX('liste reference'!$A$6:$A$1174,Z27)))))</f>
        <v>SPISPX</v>
      </c>
      <c r="Z27" s="472" t="n">
        <f aca="false">IF(ISERROR(MATCH(A27,'liste reference'!$A$6:$A$1174,0)),IF(ISERROR(MATCH(A27,'liste reference'!$B$6:$B$1174,0)),"",(MATCH(A27,'liste reference'!$B$6:$B$1174,0))),(MATCH(A27,'liste reference'!$A$6:$A$1174,0)))</f>
        <v>102</v>
      </c>
    </row>
    <row r="28" customFormat="false" ht="12.75" hidden="false" customHeight="false" outlineLevel="0" collapsed="false">
      <c r="A28" s="490" t="s">
        <v>348</v>
      </c>
      <c r="B28" s="491" t="n">
        <v>0.05</v>
      </c>
      <c r="C28" s="492"/>
      <c r="D28" s="493" t="str">
        <f aca="false">IF(ISERROR(VLOOKUP($A28,'liste reference'!$A$6:$B$1174,2,0)),IF(ISERROR(VLOOKUP($A28,'liste reference'!$B$6:$B$1174,1,0)),"",VLOOKUP($A28,'liste reference'!$B$6:$B$1174,1,0)),VLOOKUP($A28,'liste reference'!$A$6:$B$1174,2,0))</f>
        <v>Stigeoclonium sp. (excep. S. tenue)</v>
      </c>
      <c r="E28" s="494" t="e">
        <f aca="false">IF(D28="",,VLOOKUP(D28,D$22:D27,1,0))</f>
        <v>#N/A</v>
      </c>
      <c r="F28" s="495" t="n">
        <f aca="false">IF(AND(OR(A28="",A28="!!!!!!"),B28="",C28=""),"",IF(OR(AND(B28="",C28=""),ISERROR(C28+B28)),"!!!",($B28*$B$7+$C28*$C$7)/100))</f>
        <v>0.0215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13</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Stigeoclonium sp. (excep. S. tenue)</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1119</v>
      </c>
      <c r="R28" s="486" t="n">
        <f aca="false">IF(ISTEXT(H28),"",(B28*$B$7/100)+(C28*$C$7/100))</f>
        <v>0.0215</v>
      </c>
      <c r="S28" s="487" t="n">
        <f aca="false">IF(OR(ISTEXT(H28),R28=0),"",IF(R28&lt;0.1,1,IF(R28&lt;1,2,IF(R28&lt;10,3,IF(R28&lt;50,4,IF(R28&gt;=50,5,""))))))</f>
        <v>1</v>
      </c>
      <c r="T28" s="487" t="n">
        <f aca="false">IF(ISERROR(S28*J28),0,S28*J28)</f>
        <v>13</v>
      </c>
      <c r="U28" s="487" t="n">
        <f aca="false">IF(ISERROR(S28*J28*K28),0,S28*J28*K28)</f>
        <v>26</v>
      </c>
      <c r="V28" s="502" t="n">
        <f aca="false">IF(ISERROR(S28*K28),0,S28*K28)</f>
        <v>2</v>
      </c>
      <c r="W28" s="503"/>
      <c r="X28" s="504"/>
      <c r="Y28" s="487" t="str">
        <f aca="false">IF(AND(ISNUMBER(F28),OR(A28="",A28="!!!!!!")),"!!!!!!",IF(A28="new.cod","NEWCOD",IF(AND((Z28=""),ISTEXT(A28),A28&lt;&gt;"!!!!!!"),A28,IF(Z28="","",INDEX('liste reference'!$A$6:$A$1174,Z28)))))</f>
        <v>STISPX</v>
      </c>
      <c r="Z28" s="472" t="n">
        <f aca="false">IF(ISERROR(MATCH(A28,'liste reference'!$A$6:$A$1174,0)),IF(ISERROR(MATCH(A28,'liste reference'!$B$6:$B$1174,0)),"",(MATCH(A28,'liste reference'!$B$6:$B$1174,0))),(MATCH(A28,'liste reference'!$A$6:$A$1174,0)))</f>
        <v>104</v>
      </c>
    </row>
    <row r="29" customFormat="false" ht="12.75" hidden="false" customHeight="false" outlineLevel="0" collapsed="false">
      <c r="A29" s="490" t="s">
        <v>355</v>
      </c>
      <c r="B29" s="491" t="n">
        <v>0.01</v>
      </c>
      <c r="C29" s="492" t="n">
        <v>0.01</v>
      </c>
      <c r="D29" s="493" t="str">
        <f aca="false">IF(ISERROR(VLOOKUP($A29,'liste reference'!$A$6:$B$1174,2,0)),IF(ISERROR(VLOOKUP($A29,'liste reference'!$B$6:$B$1174,1,0)),"",VLOOKUP($A29,'liste reference'!$B$6:$B$1174,1,0)),VLOOKUP($A29,'liste reference'!$A$6:$B$1174,2,0))</f>
        <v>Tetraspora sp.</v>
      </c>
      <c r="E29" s="494" t="e">
        <f aca="false">IF(D29="",,VLOOKUP(D29,D$22:D28,1,0))</f>
        <v>#N/A</v>
      </c>
      <c r="F29" s="495" t="n">
        <f aca="false">IF(AND(OR(A29="",A29="!!!!!!"),B29="",C29=""),"",IF(OR(AND(B29="",C29=""),ISERROR(C29+B29)),"!!!",($B29*$B$7+$C29*$C$7)/100))</f>
        <v>0.01</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12</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Tetraspora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1138</v>
      </c>
      <c r="R29" s="486" t="n">
        <f aca="false">IF(ISTEXT(H29),"",(B29*$B$7/100)+(C29*$C$7/100))</f>
        <v>0.01</v>
      </c>
      <c r="S29" s="487" t="n">
        <f aca="false">IF(OR(ISTEXT(H29),R29=0),"",IF(R29&lt;0.1,1,IF(R29&lt;1,2,IF(R29&lt;10,3,IF(R29&lt;50,4,IF(R29&gt;=50,5,""))))))</f>
        <v>1</v>
      </c>
      <c r="T29" s="487" t="n">
        <f aca="false">IF(ISERROR(S29*J29),0,S29*J29)</f>
        <v>12</v>
      </c>
      <c r="U29" s="487" t="n">
        <f aca="false">IF(ISERROR(S29*J29*K29),0,S29*J29*K29)</f>
        <v>12</v>
      </c>
      <c r="V29" s="502" t="n">
        <f aca="false">IF(ISERROR(S29*K29),0,S29*K29)</f>
        <v>1</v>
      </c>
      <c r="W29" s="503"/>
      <c r="X29" s="504"/>
      <c r="Y29" s="487" t="str">
        <f aca="false">IF(AND(ISNUMBER(F29),OR(A29="",A29="!!!!!!")),"!!!!!!",IF(A29="new.cod","NEWCOD",IF(AND((Z29=""),ISTEXT(A29),A29&lt;&gt;"!!!!!!"),A29,IF(Z29="","",INDEX('liste reference'!$A$6:$A$1174,Z29)))))</f>
        <v>TETSPX</v>
      </c>
      <c r="Z29" s="472" t="n">
        <f aca="false">IF(ISERROR(MATCH(A29,'liste reference'!$A$6:$A$1174,0)),IF(ISERROR(MATCH(A29,'liste reference'!$B$6:$B$1174,0)),"",(MATCH(A29,'liste reference'!$B$6:$B$1174,0))),(MATCH(A29,'liste reference'!$A$6:$A$1174,0)))</f>
        <v>107</v>
      </c>
    </row>
    <row r="30" customFormat="false" ht="12.75" hidden="false" customHeight="false" outlineLevel="0" collapsed="false">
      <c r="A30" s="490" t="s">
        <v>376</v>
      </c>
      <c r="B30" s="491" t="n">
        <v>0.01</v>
      </c>
      <c r="C30" s="492" t="n">
        <v>0.02</v>
      </c>
      <c r="D30" s="493" t="str">
        <f aca="false">IF(ISERROR(VLOOKUP($A30,'liste reference'!$A$6:$B$1174,2,0)),IF(ISERROR(VLOOKUP($A30,'liste reference'!$B$6:$B$1174,1,0)),"",VLOOKUP($A30,'liste reference'!$B$6:$B$1174,1,0)),VLOOKUP($A30,'liste reference'!$A$6:$B$1174,2,0))</f>
        <v>Tolypothrix sp.</v>
      </c>
      <c r="E30" s="494" t="e">
        <f aca="false">IF(D30="",,VLOOKUP(D30,D$22:D29,1,0))</f>
        <v>#N/A</v>
      </c>
      <c r="F30" s="495" t="n">
        <f aca="false">IF(AND(OR(A30="",A30="!!!!!!"),B30="",C30=""),"",IF(OR(AND(B30="",C30=""),ISERROR(C30+B30)),"!!!",($B30*$B$7+$C30*$C$7)/100))</f>
        <v>0.0157</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Tolypothrix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6304</v>
      </c>
      <c r="R30" s="486" t="n">
        <f aca="false">IF(ISTEXT(H30),"",(B30*$B$7/100)+(C30*$C$7/100))</f>
        <v>0.0157</v>
      </c>
      <c r="S30" s="487" t="n">
        <f aca="false">IF(OR(ISTEXT(H30),R30=0),"",IF(R30&lt;0.1,1,IF(R30&lt;1,2,IF(R30&lt;10,3,IF(R30&lt;50,4,IF(R30&gt;=50,5,""))))))</f>
        <v>1</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TOYSPX</v>
      </c>
      <c r="Z30" s="472" t="n">
        <f aca="false">IF(ISERROR(MATCH(A30,'liste reference'!$A$6:$A$1174,0)),IF(ISERROR(MATCH(A30,'liste reference'!$B$6:$B$1174,0)),"",(MATCH(A30,'liste reference'!$B$6:$B$1174,0))),(MATCH(A30,'liste reference'!$A$6:$A$1174,0)))</f>
        <v>113</v>
      </c>
    </row>
    <row r="31" customFormat="false" ht="12.75" hidden="false" customHeight="false" outlineLevel="0" collapsed="false">
      <c r="A31" s="490" t="s">
        <v>385</v>
      </c>
      <c r="B31" s="491" t="n">
        <v>0.05</v>
      </c>
      <c r="C31" s="492"/>
      <c r="D31" s="493" t="str">
        <f aca="false">IF(ISERROR(VLOOKUP($A31,'liste reference'!$A$6:$B$1174,2,0)),IF(ISERROR(VLOOKUP($A31,'liste reference'!$B$6:$B$1174,1,0)),"",VLOOKUP($A31,'liste reference'!$B$6:$B$1174,1,0)),VLOOKUP($A31,'liste reference'!$A$6:$B$1174,2,0))</f>
        <v>Ulothrix sp.</v>
      </c>
      <c r="E31" s="494" t="e">
        <f aca="false">IF(D31="",,VLOOKUP(D31,D$22:D30,1,0))</f>
        <v>#N/A</v>
      </c>
      <c r="F31" s="495" t="n">
        <f aca="false">IF(AND(OR(A31="",A31="!!!!!!"),B31="",C31=""),"",IF(OR(AND(B31="",C31=""),ISERROR(C31+B31)),"!!!",($B31*$B$7+$C31*$C$7)/100))</f>
        <v>0.0215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10</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Ulothrix sp.</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1142</v>
      </c>
      <c r="R31" s="486" t="n">
        <f aca="false">IF(ISTEXT(H31),"",(B31*$B$7/100)+(C31*$C$7/100))</f>
        <v>0.0215</v>
      </c>
      <c r="S31" s="487" t="n">
        <f aca="false">IF(OR(ISTEXT(H31),R31=0),"",IF(R31&lt;0.1,1,IF(R31&lt;1,2,IF(R31&lt;10,3,IF(R31&lt;50,4,IF(R31&gt;=50,5,""))))))</f>
        <v>1</v>
      </c>
      <c r="T31" s="487" t="n">
        <f aca="false">IF(ISERROR(S31*J31),0,S31*J31)</f>
        <v>10</v>
      </c>
      <c r="U31" s="487" t="n">
        <f aca="false">IF(ISERROR(S31*J31*K31),0,S31*J31*K31)</f>
        <v>10</v>
      </c>
      <c r="V31" s="502" t="n">
        <f aca="false">IF(ISERROR(S31*K31),0,S31*K31)</f>
        <v>1</v>
      </c>
      <c r="W31" s="503"/>
      <c r="X31" s="504"/>
      <c r="Y31" s="487" t="str">
        <f aca="false">IF(AND(ISNUMBER(F31),OR(A31="",A31="!!!!!!")),"!!!!!!",IF(A31="new.cod","NEWCOD",IF(AND((Z31=""),ISTEXT(A31),A31&lt;&gt;"!!!!!!"),A31,IF(Z31="","",INDEX('liste reference'!$A$6:$A$1174,Z31)))))</f>
        <v>ULOSPX</v>
      </c>
      <c r="Z31" s="472" t="n">
        <f aca="false">IF(ISERROR(MATCH(A31,'liste reference'!$A$6:$A$1174,0)),IF(ISERROR(MATCH(A31,'liste reference'!$B$6:$B$1174,0)),"",(MATCH(A31,'liste reference'!$B$6:$B$1174,0))),(MATCH(A31,'liste reference'!$A$6:$A$1174,0)))</f>
        <v>116</v>
      </c>
    </row>
    <row r="32" customFormat="false" ht="12.75" hidden="false" customHeight="false" outlineLevel="0" collapsed="false">
      <c r="A32" s="490" t="s">
        <v>889</v>
      </c>
      <c r="B32" s="491" t="n">
        <v>0.02</v>
      </c>
      <c r="C32" s="492" t="n">
        <v>0.5</v>
      </c>
      <c r="D32" s="493" t="str">
        <f aca="false">IF(ISERROR(VLOOKUP($A32,'liste reference'!$A$6:$B$1174,2,0)),IF(ISERROR(VLOOKUP($A32,'liste reference'!$B$6:$B$1174,1,0)),"",VLOOKUP($A32,'liste reference'!$B$6:$B$1174,1,0)),VLOOKUP($A32,'liste reference'!$A$6:$B$1174,2,0))</f>
        <v>Fontinalis antipyretica</v>
      </c>
      <c r="E32" s="494" t="e">
        <f aca="false">IF(D32="",,VLOOKUP(D32,D$22:D31,1,0))</f>
        <v>#N/A</v>
      </c>
      <c r="F32" s="495" t="n">
        <f aca="false">IF(AND(OR(A32="",A32="!!!!!!"),B32="",C32=""),"",IF(OR(AND(B32="",C32=""),ISERROR(C32+B32)),"!!!",($B32*$B$7+$C32*$C$7)/100))</f>
        <v>0.2936</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10</v>
      </c>
      <c r="K32" s="498" t="n">
        <f aca="false">IF(ISNUMBER($H32),IF(ISERROR(VLOOKUP($A32,'liste reference'!$A$6:$Q$1174,7,0)),IF(ISERROR(VLOOKUP($A32,'liste reference'!$B$6:$Q$1174,6,0)),"nu",VLOOKUP($A32,'liste reference'!$B$6:$Q$1174,6,0)),VLOOKUP($A32,'liste reference'!$A$6:$Q$1174,7,0)),"nu")</f>
        <v>1</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Fontinalis antipyretica</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1310</v>
      </c>
      <c r="R32" s="486" t="n">
        <f aca="false">IF(ISTEXT(H32),"",(B32*$B$7/100)+(C32*$C$7/100))</f>
        <v>0.2936</v>
      </c>
      <c r="S32" s="487" t="n">
        <f aca="false">IF(OR(ISTEXT(H32),R32=0),"",IF(R32&lt;0.1,1,IF(R32&lt;1,2,IF(R32&lt;10,3,IF(R32&lt;50,4,IF(R32&gt;=50,5,""))))))</f>
        <v>2</v>
      </c>
      <c r="T32" s="487" t="n">
        <f aca="false">IF(ISERROR(S32*J32),0,S32*J32)</f>
        <v>20</v>
      </c>
      <c r="U32" s="487" t="n">
        <f aca="false">IF(ISERROR(S32*J32*K32),0,S32*J32*K32)</f>
        <v>20</v>
      </c>
      <c r="V32" s="502" t="n">
        <f aca="false">IF(ISERROR(S32*K32),0,S32*K32)</f>
        <v>2</v>
      </c>
      <c r="W32" s="503"/>
      <c r="X32" s="504"/>
      <c r="Y32" s="487" t="str">
        <f aca="false">IF(AND(ISNUMBER(F32),OR(A32="",A32="!!!!!!")),"!!!!!!",IF(A32="new.cod","NEWCOD",IF(AND((Z32=""),ISTEXT(A32),A32&lt;&gt;"!!!!!!"),A32,IF(Z32="","",INDEX('liste reference'!$A$6:$A$1174,Z32)))))</f>
        <v>FONANT</v>
      </c>
      <c r="Z32" s="472" t="n">
        <f aca="false">IF(ISERROR(MATCH(A32,'liste reference'!$A$6:$A$1174,0)),IF(ISERROR(MATCH(A32,'liste reference'!$B$6:$B$1174,0)),"",(MATCH(A32,'liste reference'!$B$6:$B$1174,0))),(MATCH(A32,'liste reference'!$A$6:$A$1174,0)))</f>
        <v>273</v>
      </c>
    </row>
    <row r="33" customFormat="false" ht="12.75" hidden="false" customHeight="false" outlineLevel="0" collapsed="false">
      <c r="A33" s="490" t="s">
        <v>894</v>
      </c>
      <c r="B33" s="491" t="n">
        <v>0.01</v>
      </c>
      <c r="C33" s="492"/>
      <c r="D33" s="493" t="str">
        <f aca="false">IF(ISERROR(VLOOKUP($A33,'liste reference'!$A$6:$B$1174,2,0)),IF(ISERROR(VLOOKUP($A33,'liste reference'!$B$6:$B$1174,1,0)),"",VLOOKUP($A33,'liste reference'!$B$6:$B$1174,1,0)),VLOOKUP($A33,'liste reference'!$A$6:$B$1174,2,0))</f>
        <v>Fontinalis hypnoides var. duriaei</v>
      </c>
      <c r="E33" s="494" t="e">
        <f aca="false">IF(D33="",,VLOOKUP(D33,D$22:D32,1,0))</f>
        <v>#N/A</v>
      </c>
      <c r="F33" s="495" t="n">
        <f aca="false">IF(AND(OR(A33="",A33="!!!!!!"),B33="",C33=""),"",IF(OR(AND(B33="",C33=""),ISERROR(C33+B33)),"!!!",($B33*$B$7+$C33*$C$7)/100))</f>
        <v>0.0043</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14</v>
      </c>
      <c r="K33" s="498" t="n">
        <f aca="false">IF(ISNUMBER($H33),IF(ISERROR(VLOOKUP($A33,'liste reference'!$A$6:$Q$1174,7,0)),IF(ISERROR(VLOOKUP($A33,'liste reference'!$B$6:$Q$1174,6,0)),"nu",VLOOKUP($A33,'liste reference'!$B$6:$Q$1174,6,0)),VLOOKUP($A33,'liste reference'!$A$6:$Q$1174,7,0)),"nu")</f>
        <v>3</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Fontinalis hypnoides var. duriaei</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10215</v>
      </c>
      <c r="R33" s="486" t="n">
        <f aca="false">IF(ISTEXT(H33),"",(B33*$B$7/100)+(C33*$C$7/100))</f>
        <v>0.0043</v>
      </c>
      <c r="S33" s="487" t="n">
        <f aca="false">IF(OR(ISTEXT(H33),R33=0),"",IF(R33&lt;0.1,1,IF(R33&lt;1,2,IF(R33&lt;10,3,IF(R33&lt;50,4,IF(R33&gt;=50,5,""))))))</f>
        <v>1</v>
      </c>
      <c r="T33" s="487" t="n">
        <f aca="false">IF(ISERROR(S33*J33),0,S33*J33)</f>
        <v>14</v>
      </c>
      <c r="U33" s="487" t="n">
        <f aca="false">IF(ISERROR(S33*J33*K33),0,S33*J33*K33)</f>
        <v>42</v>
      </c>
      <c r="V33" s="502" t="n">
        <f aca="false">IF(ISERROR(S33*K33),0,S33*K33)</f>
        <v>3</v>
      </c>
      <c r="W33" s="503"/>
      <c r="X33" s="504"/>
      <c r="Y33" s="487" t="str">
        <f aca="false">IF(AND(ISNUMBER(F33),OR(A33="",A33="!!!!!!")),"!!!!!!",IF(A33="new.cod","NEWCOD",IF(AND((Z33=""),ISTEXT(A33),A33&lt;&gt;"!!!!!!"),A33,IF(Z33="","",INDEX('liste reference'!$A$6:$A$1174,Z33)))))</f>
        <v>FONHYD</v>
      </c>
      <c r="Z33" s="472" t="n">
        <f aca="false">IF(ISERROR(MATCH(A33,'liste reference'!$A$6:$A$1174,0)),IF(ISERROR(MATCH(A33,'liste reference'!$B$6:$B$1174,0)),"",(MATCH(A33,'liste reference'!$B$6:$B$1174,0))),(MATCH(A33,'liste reference'!$A$6:$A$1174,0)))</f>
        <v>275</v>
      </c>
    </row>
    <row r="34" customFormat="false" ht="12.75" hidden="false" customHeight="false" outlineLevel="0" collapsed="false">
      <c r="A34" s="490" t="s">
        <v>899</v>
      </c>
      <c r="B34" s="491" t="n">
        <v>0.01</v>
      </c>
      <c r="C34" s="492"/>
      <c r="D34" s="493" t="str">
        <f aca="false">IF(ISERROR(VLOOKUP($A34,'liste reference'!$A$6:$B$1174,2,0)),IF(ISERROR(VLOOKUP($A34,'liste reference'!$B$6:$B$1174,1,0)),"",VLOOKUP($A34,'liste reference'!$B$6:$B$1174,1,0)),VLOOKUP($A34,'liste reference'!$A$6:$B$1174,2,0))</f>
        <v>Fontinalis squamosa</v>
      </c>
      <c r="E34" s="494" t="e">
        <f aca="false">IF(D34="",,VLOOKUP(D34,D$22:D33,1,0))</f>
        <v>#N/A</v>
      </c>
      <c r="F34" s="495" t="n">
        <f aca="false">IF(AND(OR(A34="",A34="!!!!!!"),B34="",C34=""),"",IF(OR(AND(B34="",C34=""),ISERROR(C34+B34)),"!!!",($B34*$B$7+$C34*$C$7)/100))</f>
        <v>0.0043</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16</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Fontinalis squamosa</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1312</v>
      </c>
      <c r="R34" s="486" t="n">
        <f aca="false">IF(ISTEXT(H34),"",(B34*$B$7/100)+(C34*$C$7/100))</f>
        <v>0.0043</v>
      </c>
      <c r="S34" s="487" t="n">
        <f aca="false">IF(OR(ISTEXT(H34),R34=0),"",IF(R34&lt;0.1,1,IF(R34&lt;1,2,IF(R34&lt;10,3,IF(R34&lt;50,4,IF(R34&gt;=50,5,""))))))</f>
        <v>1</v>
      </c>
      <c r="T34" s="487" t="n">
        <f aca="false">IF(ISERROR(S34*J34),0,S34*J34)</f>
        <v>16</v>
      </c>
      <c r="U34" s="487" t="n">
        <f aca="false">IF(ISERROR(S34*J34*K34),0,S34*J34*K34)</f>
        <v>48</v>
      </c>
      <c r="V34" s="502" t="n">
        <f aca="false">IF(ISERROR(S34*K34),0,S34*K34)</f>
        <v>3</v>
      </c>
      <c r="W34" s="503"/>
      <c r="X34" s="504"/>
      <c r="Y34" s="487" t="str">
        <f aca="false">IF(AND(ISNUMBER(F34),OR(A34="",A34="!!!!!!")),"!!!!!!",IF(A34="new.cod","NEWCOD",IF(AND((Z34=""),ISTEXT(A34),A34&lt;&gt;"!!!!!!"),A34,IF(Z34="","",INDEX('liste reference'!$A$6:$A$1174,Z34)))))</f>
        <v>FONSQU</v>
      </c>
      <c r="Z34" s="472" t="n">
        <f aca="false">IF(ISERROR(MATCH(A34,'liste reference'!$A$6:$A$1174,0)),IF(ISERROR(MATCH(A34,'liste reference'!$B$6:$B$1174,0)),"",(MATCH(A34,'liste reference'!$B$6:$B$1174,0))),(MATCH(A34,'liste reference'!$A$6:$A$1174,0)))</f>
        <v>277</v>
      </c>
    </row>
    <row r="35" customFormat="false" ht="12.75" hidden="false" customHeight="false" outlineLevel="0" collapsed="false">
      <c r="A35" s="490" t="s">
        <v>1201</v>
      </c>
      <c r="B35" s="491"/>
      <c r="C35" s="492" t="n">
        <v>0.01</v>
      </c>
      <c r="D35" s="493" t="str">
        <f aca="false">IF(ISERROR(VLOOKUP($A35,'liste reference'!$A$6:$B$1174,2,0)),IF(ISERROR(VLOOKUP($A35,'liste reference'!$B$6:$B$1174,1,0)),"",VLOOKUP($A35,'liste reference'!$B$6:$B$1174,1,0)),VLOOKUP($A35,'liste reference'!$A$6:$B$1174,2,0))</f>
        <v>Thamnobryum alopecurum</v>
      </c>
      <c r="E35" s="494" t="e">
        <f aca="false">IF(D35="",,VLOOKUP(D35,D$22:D34,1,0))</f>
        <v>#N/A</v>
      </c>
      <c r="F35" s="495" t="n">
        <f aca="false">IF(AND(OR(A35="",A35="!!!!!!"),B35="",C35=""),"",IF(OR(AND(B35="",C35=""),ISERROR(C35+B35)),"!!!",($B35*$B$7+$C35*$C$7)/100))</f>
        <v>0.0057</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15</v>
      </c>
      <c r="K35" s="498" t="n">
        <f aca="false">IF(ISNUMBER($H35),IF(ISERROR(VLOOKUP($A35,'liste reference'!$A$6:$Q$1174,7,0)),IF(ISERROR(VLOOKUP($A35,'liste reference'!$B$6:$Q$1174,6,0)),"nu",VLOOKUP($A35,'liste reference'!$B$6:$Q$1174,6,0)),VLOOKUP($A35,'liste reference'!$A$6:$Q$1174,7,0)),"nu")</f>
        <v>2</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Thamnobryum alopecurum</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1344</v>
      </c>
      <c r="R35" s="486" t="n">
        <f aca="false">IF(ISTEXT(H35),"",(B35*$B$7/100)+(C35*$C$7/100))</f>
        <v>0.0057</v>
      </c>
      <c r="S35" s="487" t="n">
        <f aca="false">IF(OR(ISTEXT(H35),R35=0),"",IF(R35&lt;0.1,1,IF(R35&lt;1,2,IF(R35&lt;10,3,IF(R35&lt;50,4,IF(R35&gt;=50,5,""))))))</f>
        <v>1</v>
      </c>
      <c r="T35" s="487" t="n">
        <f aca="false">IF(ISERROR(S35*J35),0,S35*J35)</f>
        <v>15</v>
      </c>
      <c r="U35" s="487" t="n">
        <f aca="false">IF(ISERROR(S35*J35*K35),0,S35*J35*K35)</f>
        <v>30</v>
      </c>
      <c r="V35" s="502" t="n">
        <f aca="false">IF(ISERROR(S35*K35),0,S35*K35)</f>
        <v>2</v>
      </c>
      <c r="W35" s="503"/>
      <c r="X35" s="504"/>
      <c r="Y35" s="487" t="str">
        <f aca="false">IF(AND(ISNUMBER(F35),OR(A35="",A35="!!!!!!")),"!!!!!!",IF(A35="new.cod","NEWCOD",IF(AND((Z35=""),ISTEXT(A35),A35&lt;&gt;"!!!!!!"),A35,IF(Z35="","",INDEX('liste reference'!$A$6:$A$1174,Z35)))))</f>
        <v>THAALO</v>
      </c>
      <c r="Z35" s="472" t="n">
        <f aca="false">IF(ISERROR(MATCH(A35,'liste reference'!$A$6:$A$1174,0)),IF(ISERROR(MATCH(A35,'liste reference'!$B$6:$B$1174,0)),"",(MATCH(A35,'liste reference'!$B$6:$B$1174,0))),(MATCH(A35,'liste reference'!$A$6:$A$1174,0)))</f>
        <v>368</v>
      </c>
    </row>
    <row r="36" customFormat="false" ht="12.75" hidden="false" customHeight="false" outlineLevel="0" collapsed="false">
      <c r="A36" s="490" t="s">
        <v>1313</v>
      </c>
      <c r="B36" s="491"/>
      <c r="C36" s="492" t="n">
        <v>0.01</v>
      </c>
      <c r="D36" s="493" t="str">
        <f aca="false">IF(ISERROR(VLOOKUP($A36,'liste reference'!$A$6:$B$1174,2,0)),IF(ISERROR(VLOOKUP($A36,'liste reference'!$B$6:$B$1174,1,0)),"",VLOOKUP($A36,'liste reference'!$B$6:$B$1174,1,0)),VLOOKUP($A36,'liste reference'!$A$6:$B$1174,2,0))</f>
        <v>Osmunda regalis</v>
      </c>
      <c r="E36" s="494" t="e">
        <f aca="false">IF(D36="",,VLOOKUP(D36,D$22:D35,1,0))</f>
        <v>#N/A</v>
      </c>
      <c r="F36" s="495" t="n">
        <f aca="false">IF(AND(OR(A36="",A36="!!!!!!"),B36="",C36=""),"",IF(OR(AND(B36="",C36=""),ISERROR(C36+B36)),"!!!",($B36*$B$7+$C36*$C$7)/100))</f>
        <v>0.0057</v>
      </c>
      <c r="G36" s="496" t="str">
        <f aca="false">IF(A36="","",IF(ISERROR(VLOOKUP($A36,'liste reference'!$A$6:$Q$1174,9,0)),IF(ISERROR(VLOOKUP($A36,'liste reference'!$B$6:$Q$1174,8,0)),"    -",VLOOKUP($A36,'liste reference'!$B$6:$Q$1174,8,0)),VLOOKUP($A36,'liste reference'!$A$6:$Q$1174,9,0)))</f>
        <v>PTE</v>
      </c>
      <c r="H36" s="497" t="n">
        <f aca="false">IF(A36="","x",IF(ISERROR(VLOOKUP($A36,'liste reference'!$A$6:$Q$1174,10,0)),IF(ISERROR(VLOOKUP($A36,'liste reference'!$B$6:$Q$1174,9,0)),"x",VLOOKUP($A36,'liste reference'!$B$6:$Q$1174,9,0)),VLOOKUP($A36,'liste reference'!$A$6:$Q$1174,10,0)))</f>
        <v>6</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Osmunda regalis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1403</v>
      </c>
      <c r="R36" s="486" t="n">
        <f aca="false">IF(ISTEXT(H36),"",(B36*$B$7/100)+(C36*$C$7/100))</f>
        <v>0.0057</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OSMREG</v>
      </c>
      <c r="Z36" s="472" t="n">
        <f aca="false">IF(ISERROR(MATCH(A36,'liste reference'!$A$6:$A$1174,0)),IF(ISERROR(MATCH(A36,'liste reference'!$B$6:$B$1174,0)),"",(MATCH(A36,'liste reference'!$B$6:$B$1174,0))),(MATCH(A36,'liste reference'!$A$6:$A$1174,0)))</f>
        <v>407</v>
      </c>
    </row>
    <row r="37" customFormat="false" ht="12.75" hidden="false" customHeight="false" outlineLevel="0" collapsed="false">
      <c r="A37" s="490" t="s">
        <v>2611</v>
      </c>
      <c r="B37" s="491"/>
      <c r="C37" s="492" t="n">
        <v>0.01</v>
      </c>
      <c r="D37" s="493" t="str">
        <f aca="false">IF(ISERROR(VLOOKUP($A37,'liste reference'!$A$6:$B$1174,2,0)),IF(ISERROR(VLOOKUP($A37,'liste reference'!$B$6:$B$1174,1,0)),"",VLOOKUP($A37,'liste reference'!$B$6:$B$1174,1,0)),VLOOKUP($A37,'liste reference'!$A$6:$B$1174,2,0))</f>
        <v>Juncus articulatus</v>
      </c>
      <c r="E37" s="494" t="e">
        <f aca="false">IF(D37="",,VLOOKUP(D37,D$22:D36,1,0))</f>
        <v>#N/A</v>
      </c>
      <c r="F37" s="495" t="n">
        <f aca="false">IF(AND(OR(A37="",A37="!!!!!!"),B37="",C37=""),"",IF(OR(AND(B37="",C37=""),ISERROR(C37+B37)),"!!!",($B37*$B$7+$C37*$C$7)/100))</f>
        <v>0.0057</v>
      </c>
      <c r="G37" s="496" t="str">
        <f aca="false">IF(A37="","",IF(ISERROR(VLOOKUP($A37,'liste reference'!$A$6:$Q$1174,9,0)),IF(ISERROR(VLOOKUP($A37,'liste reference'!$B$6:$Q$1174,8,0)),"    -",VLOOKUP($A37,'liste reference'!$B$6:$Q$1174,8,0)),VLOOKUP($A37,'liste reference'!$A$6:$Q$1174,9,0)))</f>
        <v>PHg</v>
      </c>
      <c r="H37" s="497" t="n">
        <f aca="false">IF(A37="","x",IF(ISERROR(VLOOKUP($A37,'liste reference'!$A$6:$Q$1174,10,0)),IF(ISERROR(VLOOKUP($A37,'liste reference'!$B$6:$Q$1174,9,0)),"x",VLOOKUP($A37,'liste reference'!$B$6:$Q$1174,9,0)),VLOOKUP($A37,'liste reference'!$A$6:$Q$1174,10,0)))</f>
        <v>9</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Juncus articulatus</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1609</v>
      </c>
      <c r="R37" s="486" t="n">
        <f aca="false">IF(ISTEXT(H37),"",(B37*$B$7/100)+(C37*$C$7/100))</f>
        <v>0.0057</v>
      </c>
      <c r="S37" s="487" t="n">
        <f aca="false">IF(OR(ISTEXT(H37),R37=0),"",IF(R37&lt;0.1,1,IF(R37&lt;1,2,IF(R37&lt;10,3,IF(R37&lt;50,4,IF(R37&gt;=50,5,""))))))</f>
        <v>1</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JUNART</v>
      </c>
      <c r="Z37" s="472" t="n">
        <f aca="false">IF(ISERROR(MATCH(A37,'liste reference'!$A$6:$A$1174,0)),IF(ISERROR(MATCH(A37,'liste reference'!$B$6:$B$1174,0)),"",(MATCH(A37,'liste reference'!$B$6:$B$1174,0))),(MATCH(A37,'liste reference'!$A$6:$A$1174,0)))</f>
        <v>873</v>
      </c>
    </row>
    <row r="38" customFormat="false" ht="12.75" hidden="false" customHeight="false" outlineLevel="0" collapsed="false">
      <c r="A38" s="490" t="s">
        <v>2618</v>
      </c>
      <c r="B38" s="491"/>
      <c r="C38" s="492" t="n">
        <v>0.01</v>
      </c>
      <c r="D38" s="493" t="str">
        <f aca="false">IF(ISERROR(VLOOKUP($A38,'liste reference'!$A$6:$B$1174,2,0)),IF(ISERROR(VLOOKUP($A38,'liste reference'!$B$6:$B$1174,1,0)),"",VLOOKUP($A38,'liste reference'!$B$6:$B$1174,1,0)),VLOOKUP($A38,'liste reference'!$A$6:$B$1174,2,0))</f>
        <v>Juncus effusus</v>
      </c>
      <c r="E38" s="494" t="e">
        <f aca="false">IF(D38="",,VLOOKUP(D38,D$22:D37,1,0))</f>
        <v>#N/A</v>
      </c>
      <c r="F38" s="495" t="n">
        <f aca="false">IF(AND(OR(A38="",A38="!!!!!!"),B38="",C38=""),"",IF(OR(AND(B38="",C38=""),ISERROR(C38+B38)),"!!!",($B38*$B$7+$C38*$C$7)/100))</f>
        <v>0.0057</v>
      </c>
      <c r="G38" s="496" t="str">
        <f aca="false">IF(A38="","",IF(ISERROR(VLOOKUP($A38,'liste reference'!$A$6:$Q$1174,9,0)),IF(ISERROR(VLOOKUP($A38,'liste reference'!$B$6:$Q$1174,8,0)),"    -",VLOOKUP($A38,'liste reference'!$B$6:$Q$1174,8,0)),VLOOKUP($A38,'liste reference'!$A$6:$Q$1174,9,0)))</f>
        <v>PHg</v>
      </c>
      <c r="H38" s="497" t="n">
        <f aca="false">IF(A38="","x",IF(ISERROR(VLOOKUP($A38,'liste reference'!$A$6:$Q$1174,10,0)),IF(ISERROR(VLOOKUP($A38,'liste reference'!$B$6:$Q$1174,9,0)),"x",VLOOKUP($A38,'liste reference'!$B$6:$Q$1174,9,0)),VLOOKUP($A38,'liste reference'!$A$6:$Q$1174,10,0)))</f>
        <v>9</v>
      </c>
      <c r="I38" s="285" t="n">
        <f aca="false">IF(A38="","",1)</f>
        <v>1</v>
      </c>
      <c r="J38" s="498" t="str">
        <f aca="false">IF(ISNUMBER($H38),IF(ISERROR(VLOOKUP($A38,'liste reference'!$A$6:$Q$1174,6,0)),IF(ISERROR(VLOOKUP($A38,'liste reference'!$B$6:$Q$1174,5,0)),"nu",VLOOKUP($A38,'liste reference'!$B$6:$Q$1174,5,0)),VLOOKUP($A38,'liste reference'!$A$6:$Q$1174,6,0)),"nu")</f>
        <v>nc</v>
      </c>
      <c r="K38" s="498" t="str">
        <f aca="false">IF(ISNUMBER($H38),IF(ISERROR(VLOOKUP($A38,'liste reference'!$A$6:$Q$1174,7,0)),IF(ISERROR(VLOOKUP($A38,'liste reference'!$B$6:$Q$1174,6,0)),"nu",VLOOKUP($A38,'liste reference'!$B$6:$Q$1174,6,0)),VLOOKUP($A38,'liste reference'!$A$6:$Q$1174,7,0)),"nu")</f>
        <v>nc</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Juncus effusus</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1613</v>
      </c>
      <c r="R38" s="486" t="n">
        <f aca="false">IF(ISTEXT(H38),"",(B38*$B$7/100)+(C38*$C$7/100))</f>
        <v>0.0057</v>
      </c>
      <c r="S38" s="487" t="n">
        <f aca="false">IF(OR(ISTEXT(H38),R38=0),"",IF(R38&lt;0.1,1,IF(R38&lt;1,2,IF(R38&lt;10,3,IF(R38&lt;50,4,IF(R38&gt;=50,5,""))))))</f>
        <v>1</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JUNEFF</v>
      </c>
      <c r="Z38" s="472" t="n">
        <f aca="false">IF(ISERROR(MATCH(A38,'liste reference'!$A$6:$A$1174,0)),IF(ISERROR(MATCH(A38,'liste reference'!$B$6:$B$1174,0)),"",(MATCH(A38,'liste reference'!$B$6:$B$1174,0))),(MATCH(A38,'liste reference'!$A$6:$A$1174,0)))</f>
        <v>876</v>
      </c>
    </row>
    <row r="39" customFormat="false" ht="12.75" hidden="false" customHeight="false" outlineLevel="0" collapsed="false">
      <c r="A39" s="490" t="s">
        <v>3449</v>
      </c>
      <c r="B39" s="491" t="n">
        <v>0.05</v>
      </c>
      <c r="C39" s="492"/>
      <c r="D39" s="493" t="str">
        <f aca="false">IF(ISERROR(VLOOKUP($A39,'liste reference'!$A$6:$B$1174,2,0)),IF(ISERROR(VLOOKUP($A39,'liste reference'!$B$6:$B$1174,1,0)),"",VLOOKUP($A39,'liste reference'!$B$6:$B$1174,1,0)),VLOOKUP($A39,'liste reference'!$A$6:$B$1174,2,0))</f>
        <v/>
      </c>
      <c r="E39" s="494" t="n">
        <f aca="false">IF(D39="",,VLOOKUP(D39,D$22:D38,1,0))</f>
        <v>0</v>
      </c>
      <c r="F39" s="495" t="n">
        <f aca="false">IF(AND(OR(A39="",A39="!!!!!!"),B39="",C39=""),"",IF(OR(AND(B39="",C39=""),ISERROR(C39+B39)),"!!!",($B39*$B$7+$C39*$C$7)/100))</f>
        <v>0.0215</v>
      </c>
      <c r="G39" s="496" t="str">
        <f aca="false">IF(A39="","",IF(ISERROR(VLOOKUP($A39,'liste reference'!$A$6:$Q$1174,9,0)),IF(ISERROR(VLOOKUP($A39,'liste reference'!$B$6:$Q$1174,8,0)),"    -",VLOOKUP($A39,'liste reference'!$B$6:$Q$1174,8,0)),VLOOKUP($A39,'liste reference'!$A$6:$Q$1174,9,0)))</f>
        <v>    -</v>
      </c>
      <c r="H39" s="497" t="str">
        <f aca="false">IF(A39="","x",IF(ISERROR(VLOOKUP($A39,'liste reference'!$A$6:$Q$1174,10,0)),IF(ISERROR(VLOOKUP($A39,'liste reference'!$B$6:$Q$1174,9,0)),"x",VLOOKUP($A39,'liste reference'!$B$6:$Q$1174,9,0)),VLOOKUP($A39,'liste reference'!$A$6:$Q$1174,10,0)))</f>
        <v>x</v>
      </c>
      <c r="I39" s="285" t="n">
        <f aca="false">IF(A39="","",1)</f>
        <v>1</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Blennothrix sp.</v>
      </c>
      <c r="M39" s="499"/>
      <c r="N39" s="499"/>
      <c r="O39" s="499"/>
      <c r="P39" s="500" t="s">
        <v>3450</v>
      </c>
      <c r="Q39" s="501" t="n">
        <f aca="false">IF(OR($A39="NEWCOD",$A39="!!!!!!"),IF(X39="","NoCod",X39),IF($A39="","",IF(ISERROR(VLOOKUP($A39,'liste reference'!$A$6:$H$1174,8,FALSE())),IF(ISERROR(VLOOKUP($A39,'liste reference'!$B$6:$H$1174,7,FALSE())),"",VLOOKUP($A39,'liste reference'!$B$6:$H$1174,7,FALSE())),VLOOKUP($A39,'liste reference'!$A$6:$H$1174,8,FALSE()))))</f>
        <v>38999</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t="s">
        <v>3451</v>
      </c>
      <c r="X39" s="504" t="n">
        <v>38999</v>
      </c>
      <c r="Y39" s="487" t="str">
        <f aca="false">IF(AND(ISNUMBER(F39),OR(A39="",A39="!!!!!!")),"!!!!!!",IF(A39="new.cod","NEWCOD",IF(AND((Z39=""),ISTEXT(A39),A39&lt;&gt;"!!!!!!"),A39,IF(Z39="","",INDEX('liste reference'!$A$6:$A$1174,Z39)))))</f>
        <v>NEWCOD</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0.6402</v>
      </c>
      <c r="G83" s="425"/>
      <c r="H83" s="425"/>
      <c r="I83" s="425"/>
      <c r="J83" s="425"/>
      <c r="K83" s="425"/>
      <c r="L83" s="425"/>
      <c r="M83" s="487"/>
      <c r="N83" s="487"/>
      <c r="O83" s="487"/>
      <c r="P83" s="487"/>
      <c r="Q83" s="487"/>
      <c r="R83" s="487"/>
      <c r="S83" s="487"/>
      <c r="T83" s="487"/>
      <c r="U83" s="487"/>
      <c r="V83" s="487" t="n">
        <f aca="false">SUM(V23:V82)</f>
        <v>19</v>
      </c>
      <c r="W83" s="487"/>
      <c r="X83" s="524"/>
      <c r="Y83" s="524"/>
      <c r="Z83" s="525"/>
    </row>
    <row r="84" customFormat="false" ht="12.75" hidden="true" customHeight="false" outlineLevel="0" collapsed="false">
      <c r="A84" s="519" t="str">
        <f aca="false">A3</f>
        <v>FANGO</v>
      </c>
      <c r="B84" s="454" t="str">
        <f aca="false">C3</f>
        <v>FANGO A GALERIA</v>
      </c>
      <c r="C84" s="526" t="str">
        <f aca="false">A4</f>
        <v>(Date)</v>
      </c>
      <c r="D84" s="527" t="n">
        <f aca="false">IF(OR(ISERROR(SUM($U$23:$U$82)/SUM($V$23:$V$82)),F7&lt;&gt;100),-1,SUM($U$23:$U$82)/SUM($V$23:$V$82))</f>
        <v>12.6315789473684</v>
      </c>
      <c r="E84" s="528" t="n">
        <f aca="false">O13</f>
        <v>17</v>
      </c>
      <c r="F84" s="454" t="n">
        <f aca="false">O14</f>
        <v>10</v>
      </c>
      <c r="G84" s="454" t="n">
        <f aca="false">O15</f>
        <v>4</v>
      </c>
      <c r="H84" s="454" t="n">
        <f aca="false">O16</f>
        <v>4</v>
      </c>
      <c r="I84" s="454" t="n">
        <f aca="false">O17</f>
        <v>2</v>
      </c>
      <c r="J84" s="529" t="n">
        <f aca="false">O8</f>
        <v>12.1</v>
      </c>
      <c r="K84" s="530" t="n">
        <f aca="false">O9</f>
        <v>2.94788059459673</v>
      </c>
      <c r="L84" s="531" t="n">
        <f aca="false">O10</f>
        <v>6</v>
      </c>
      <c r="M84" s="531" t="n">
        <f aca="false">O11</f>
        <v>16</v>
      </c>
      <c r="N84" s="530" t="n">
        <f aca="false">P8</f>
        <v>1.8</v>
      </c>
      <c r="O84" s="530" t="n">
        <f aca="false">P9</f>
        <v>0.748331477354788</v>
      </c>
      <c r="P84" s="531" t="n">
        <f aca="false">P10</f>
        <v>1</v>
      </c>
      <c r="Q84" s="531" t="n">
        <f aca="false">P11</f>
        <v>3</v>
      </c>
      <c r="R84" s="531" t="n">
        <f aca="false">F21</f>
        <v>0.6402</v>
      </c>
      <c r="S84" s="531" t="n">
        <f aca="false">L11</f>
        <v>0</v>
      </c>
      <c r="T84" s="531" t="n">
        <f aca="false">L12</f>
        <v>9</v>
      </c>
      <c r="U84" s="531" t="n">
        <f aca="false">L13</f>
        <v>4</v>
      </c>
      <c r="V84" s="532" t="n">
        <f aca="false">L15</f>
        <v>2</v>
      </c>
      <c r="W84" s="533" t="n">
        <f aca="false">L15</f>
        <v>2</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14</v>
      </c>
      <c r="U87" s="285"/>
      <c r="V87" s="285"/>
    </row>
    <row r="88" customFormat="false" ht="12.75" hidden="true" customHeight="false" outlineLevel="0" collapsed="false">
      <c r="C88" s="535"/>
      <c r="D88" s="535"/>
      <c r="E88" s="535"/>
      <c r="R88" s="285" t="s">
        <v>3454</v>
      </c>
      <c r="S88" s="285"/>
      <c r="T88" s="537" t="n">
        <f aca="false">VLOOKUP($T$91,($A$23:$U$82),21,FALSE())</f>
        <v>42</v>
      </c>
      <c r="U88" s="285"/>
      <c r="V88" s="285" t="n">
        <f aca="false">COUNTIF(V23:V82,T89)</f>
        <v>2</v>
      </c>
    </row>
    <row r="89" customFormat="false" ht="12.75" hidden="true" customHeight="false" outlineLevel="0" collapsed="false">
      <c r="C89" s="535"/>
      <c r="D89" s="535"/>
      <c r="E89" s="535"/>
      <c r="R89" s="285" t="s">
        <v>3455</v>
      </c>
      <c r="S89" s="285"/>
      <c r="T89" s="537" t="n">
        <f aca="false">MAX($V$23:$V$82)</f>
        <v>3</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12.375</v>
      </c>
      <c r="U90" s="285" t="n">
        <f aca="false">IF(ISERROR(T90),0,1)</f>
        <v>1</v>
      </c>
    </row>
    <row r="91" customFormat="false" ht="12.75" hidden="true" customHeight="false" outlineLevel="0" collapsed="false">
      <c r="C91" s="535"/>
      <c r="D91" s="535"/>
      <c r="E91" s="535"/>
      <c r="R91" s="487" t="s">
        <v>3457</v>
      </c>
      <c r="S91" s="487"/>
      <c r="T91" s="487" t="str">
        <f aca="false">INDEX('liste reference'!$A$6:$A$1174,$U$91)</f>
        <v>FONHYD</v>
      </c>
      <c r="U91" s="285" t="n">
        <f aca="false">IF(ISERROR(MATCH($T$93,'liste reference'!$A$6:$A$1174,0)),MATCH($T$93,'liste reference'!$B$6:$B$1174,0),(MATCH($T$93,'liste reference'!$A$6:$A$1174,0)))</f>
        <v>275</v>
      </c>
      <c r="V91" s="525"/>
    </row>
    <row r="92" customFormat="false" ht="12.75" hidden="true" customHeight="false" outlineLevel="0" collapsed="false">
      <c r="C92" s="535"/>
      <c r="D92" s="535"/>
      <c r="E92" s="535"/>
      <c r="R92" s="285" t="s">
        <v>3458</v>
      </c>
      <c r="S92" s="285"/>
      <c r="T92" s="285" t="n">
        <f aca="false">MATCH(T89,$V$23:$V$82,0)</f>
        <v>11</v>
      </c>
      <c r="U92" s="285"/>
    </row>
    <row r="93" customFormat="false" ht="12.75" hidden="true" customHeight="false" outlineLevel="0" collapsed="false">
      <c r="C93" s="535"/>
      <c r="D93" s="535"/>
      <c r="E93" s="535"/>
      <c r="R93" s="487" t="s">
        <v>3459</v>
      </c>
      <c r="S93" s="285"/>
      <c r="T93" s="487" t="str">
        <f aca="false">INDEX($A$23:$A$82,$T$92)</f>
        <v>FONHYD</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3460</v>
      </c>
      <c r="B2" s="290"/>
      <c r="C2" s="291" t="s">
        <v>3461</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3462</v>
      </c>
      <c r="B3" s="290"/>
      <c r="C3" s="289" t="s">
        <v>3463</v>
      </c>
      <c r="D3" s="300"/>
      <c r="E3" s="300"/>
      <c r="F3" s="301"/>
      <c r="G3" s="301"/>
      <c r="H3" s="300"/>
      <c r="I3" s="285"/>
      <c r="J3" s="292"/>
      <c r="K3" s="302"/>
      <c r="L3" s="303" t="s">
        <v>3464</v>
      </c>
      <c r="M3" s="304"/>
      <c r="N3" s="305" t="s">
        <v>3465</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3466</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0</v>
      </c>
      <c r="U87" s="285"/>
      <c r="V87" s="285"/>
    </row>
    <row r="88" customFormat="false" ht="12.75" hidden="true" customHeight="false" outlineLevel="0" collapsed="false">
      <c r="C88" s="535"/>
      <c r="D88" s="535"/>
      <c r="E88" s="535"/>
      <c r="R88" s="285" t="s">
        <v>3454</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3455</v>
      </c>
      <c r="S89" s="285"/>
      <c r="T89" s="537" t="n">
        <f aca="false">MAX($V$23:$V$82)</f>
        <v>0</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3457</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3458</v>
      </c>
      <c r="S92" s="285"/>
      <c r="T92" s="285" t="n">
        <f aca="false">MATCH(T89,$V$23:$V$82,0)</f>
        <v>1</v>
      </c>
      <c r="U92" s="285"/>
    </row>
    <row r="93" customFormat="false" ht="12.75" hidden="true" customHeight="false" outlineLevel="0" collapsed="false">
      <c r="C93" s="535"/>
      <c r="D93" s="535"/>
      <c r="E93" s="535"/>
      <c r="R93" s="487" t="s">
        <v>3459</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3467</v>
      </c>
      <c r="B1" s="541"/>
      <c r="C1" s="541"/>
      <c r="D1" s="541"/>
      <c r="E1" s="542" t="s">
        <v>3468</v>
      </c>
      <c r="F1" s="543" t="s">
        <v>3469</v>
      </c>
      <c r="G1" s="544"/>
      <c r="H1" s="544"/>
      <c r="I1" s="544"/>
      <c r="J1" s="544"/>
      <c r="K1" s="544"/>
      <c r="L1" s="545"/>
    </row>
    <row r="2" customFormat="false" ht="13.8" hidden="false" customHeight="false" outlineLevel="0" collapsed="false">
      <c r="A2" s="546" t="s">
        <v>3470</v>
      </c>
      <c r="B2" s="547"/>
      <c r="C2" s="548"/>
      <c r="D2" s="548"/>
      <c r="E2" s="549"/>
      <c r="F2" s="543" t="s">
        <v>3471</v>
      </c>
      <c r="G2" s="544"/>
      <c r="H2" s="544"/>
      <c r="I2" s="544"/>
      <c r="J2" s="544"/>
      <c r="K2" s="544"/>
      <c r="L2" s="545"/>
    </row>
    <row r="3" customFormat="false" ht="13.8" hidden="false" customHeight="false" outlineLevel="0" collapsed="false">
      <c r="A3" s="546" t="s">
        <v>3472</v>
      </c>
      <c r="B3" s="547"/>
      <c r="C3" s="548"/>
      <c r="D3" s="550" t="s">
        <v>3473</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3474</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3449</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3450</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2018-03-21T10:15:57Z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