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<sst xmlns="http://schemas.openxmlformats.org/spreadsheetml/2006/main" count="124" uniqueCount="116">
  <si>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</si>
  <si>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</si>
  <si>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</si>
  <si>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 ISEBE C. BERNARD</t>
  </si>
  <si>
    <t xml:space="preserve">conforme AFNOR T90-395 oct. 2003</t>
  </si>
  <si>
    <t xml:space="preserve">Oignin</t>
  </si>
  <si>
    <t xml:space="preserve">Oignin a Samognat</t>
  </si>
  <si>
    <t xml:space="preserve">06580184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</si>
  <si>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</si>
  <si>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</si>
  <si>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</si>
  <si>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</si>
  <si>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</si>
  <si>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</si>
  <si>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</si>
  <si>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</si>
  <si>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</si>
  <si>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</si>
  <si>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</si>
  <si>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</si>
  <si>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</si>
  <si>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</si>
  <si>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</si>
  <si>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</si>
  <si>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</si>
  <si>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</si>
  <si>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</si>
  <si>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</si>
  <si>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</si>
  <si>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</si>
  <si>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</si>
  <si>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</si>
  <si>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</si>
  <si>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</si>
  <si>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</si>
  <si>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</si>
  <si>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</si>
  <si>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</si>
  <si>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</si>
  <si>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</si>
  <si>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</si>
  <si>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</si>
  <si>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</si>
  <si>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</si>
  <si>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</si>
  <si>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</si>
  <si>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</si>
  <si>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</si>
  <si>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</si>
  <si>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</si>
  <si>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</si>
  <si>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</si>
  <si>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</si>
  <si>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</si>
  <si>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</si>
  <si>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</si>
  <si>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</si>
  <si>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</si>
  <si>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</si>
  <si>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</si>
  <si>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</si>
  <si>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</si>
  <si>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</si>
  <si>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</si>
  <si>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</si>
  <si>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</si>
  <si>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</si>
  <si>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</si>
  <si>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</si>
  <si>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</si>
  <si>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</si>
  <si>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</si>
  <si>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</si>
  <si>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</si>
  <si>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</si>
  <si>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</si>
  <si>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</si>
  <si>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</si>
  <si>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</si>
  <si>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MICSPX</t>
  </si>
  <si>
    <t xml:space="preserve">NOSSPX</t>
  </si>
  <si>
    <t xml:space="preserve">VAUSPX</t>
  </si>
  <si>
    <t xml:space="preserve">ANEPIN</t>
  </si>
  <si>
    <t xml:space="preserve">CONCON</t>
  </si>
  <si>
    <t xml:space="preserve">JUGSPX</t>
  </si>
  <si>
    <t xml:space="preserve">MACPOL</t>
  </si>
  <si>
    <t xml:space="preserve">AMBRIP</t>
  </si>
  <si>
    <t xml:space="preserve">CINDAN</t>
  </si>
  <si>
    <t xml:space="preserve">CRAFIL</t>
  </si>
  <si>
    <t xml:space="preserve">FONANT</t>
  </si>
  <si>
    <t xml:space="preserve">AGRSTO</t>
  </si>
  <si>
    <t xml:space="preserve">BERERE</t>
  </si>
  <si>
    <t xml:space="preserve">CARELA</t>
  </si>
  <si>
    <t xml:space="preserve">GLYFLU</t>
  </si>
  <si>
    <t xml:space="preserve">LYCEUR</t>
  </si>
  <si>
    <t xml:space="preserve">MENLON</t>
  </si>
  <si>
    <t xml:space="preserve">RORAMP</t>
  </si>
  <si>
    <t xml:space="preserve">CAMPRA</t>
  </si>
  <si>
    <t xml:space="preserve">FILULM</t>
  </si>
  <si>
    <t xml:space="preserve">URTDIO</t>
  </si>
  <si>
    <t xml:space="preserve">newcod</t>
  </si>
  <si>
    <t xml:space="preserve">Petasites sp.</t>
  </si>
  <si>
    <t xml:space="preserve">Hieracium sp.</t>
  </si>
  <si>
    <t xml:space="preserve">Hedera helix</t>
  </si>
  <si>
    <t xml:space="preserve">Rubus fruticosus</t>
  </si>
  <si>
    <t xml:space="preserve">Salix viminalis</t>
  </si>
  <si>
    <t xml:space="preserve">Alnus glutinosa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</si>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</sst>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OISAM_25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10.804347826087</v>
      </c>
      <c r="M5" s="53"/>
      <c r="N5" s="54"/>
      <c r="O5" s="55" t="n">
        <v>10.0294117647059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10.6428571428571</v>
      </c>
      <c r="O8" s="83" t="n">
        <f aca="false">AVERAGE(J23:J82)</f>
        <v>1.64285714285714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52</v>
      </c>
      <c r="C9" s="86" t="n">
        <v>36</v>
      </c>
      <c r="D9" s="87"/>
      <c r="E9" s="87"/>
      <c r="F9" s="88" t="n">
        <f aca="false">($B9*$B$7+$C9*$C$7)/100</f>
        <v>50.4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3.91461055843054</v>
      </c>
      <c r="O9" s="83" t="n">
        <f aca="false">STDEV(J23:J82)</f>
        <v>0.744946343668492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18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20</v>
      </c>
      <c r="C12" s="118" t="n">
        <v>5</v>
      </c>
      <c r="D12" s="110"/>
      <c r="E12" s="110"/>
      <c r="F12" s="111" t="n">
        <f aca="false">($B12*$B$7+$C12*$C$7)/100</f>
        <v>18.5</v>
      </c>
      <c r="G12" s="119"/>
      <c r="H12" s="68"/>
      <c r="I12" s="120" t="s">
        <v>37</v>
      </c>
      <c r="J12" s="120"/>
      <c r="K12" s="114" t="n">
        <f aca="false">COUNTIF($G$23:$G$82,"=ALG")</f>
        <v>4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30.6</v>
      </c>
      <c r="C13" s="118" t="n">
        <v>4.3</v>
      </c>
      <c r="D13" s="110"/>
      <c r="E13" s="110"/>
      <c r="F13" s="111" t="n">
        <f aca="false">($B13*$B$7+$C13*$C$7)/100</f>
        <v>27.97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8</v>
      </c>
      <c r="L13" s="115"/>
      <c r="M13" s="126" t="s">
        <v>40</v>
      </c>
      <c r="N13" s="127" t="n">
        <f aca="false">COUNTIF(F23:F82,"&gt;0")</f>
        <v>28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14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 t="n">
        <v>1</v>
      </c>
      <c r="C15" s="135" t="n">
        <v>27</v>
      </c>
      <c r="D15" s="110"/>
      <c r="E15" s="110"/>
      <c r="F15" s="111" t="n">
        <f aca="false">($B15*$B$7+$C15*$C$7)/100</f>
        <v>3.6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10</v>
      </c>
      <c r="L15" s="115"/>
      <c r="M15" s="136" t="s">
        <v>46</v>
      </c>
      <c r="N15" s="137" t="n">
        <f aca="false">COUNTIF(J23:J82,"=1")</f>
        <v>7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5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50.6</v>
      </c>
      <c r="C17" s="118" t="n">
        <v>10</v>
      </c>
      <c r="D17" s="110"/>
      <c r="E17" s="110"/>
      <c r="F17" s="142"/>
      <c r="G17" s="111" t="n">
        <f aca="false">($B17*$B$7+$C17*$C$7)/100</f>
        <v>46.54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2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 t="n">
        <v>1</v>
      </c>
      <c r="C18" s="145" t="n">
        <v>26</v>
      </c>
      <c r="D18" s="110"/>
      <c r="E18" s="146" t="s">
        <v>52</v>
      </c>
      <c r="F18" s="142"/>
      <c r="G18" s="111" t="n">
        <f aca="false">($B18*$B$7+$C18*$C$7)/100</f>
        <v>3.5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50.07</v>
      </c>
      <c r="G19" s="155" t="n">
        <f aca="false">SUM(G16:G18)</f>
        <v>50.04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51.66</v>
      </c>
      <c r="C20" s="165" t="n">
        <f aca="false">SUM(C23:C82)</f>
        <v>36.08</v>
      </c>
      <c r="D20" s="166"/>
      <c r="E20" s="167" t="s">
        <v>52</v>
      </c>
      <c r="F20" s="168" t="n">
        <f aca="false">($B20*$B$7+$C20*$C$7)/100</f>
        <v>50.102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46.494</v>
      </c>
      <c r="C21" s="178" t="n">
        <f aca="false">C20*C7/100</f>
        <v>3.608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50.102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7.6</v>
      </c>
      <c r="C23" s="204" t="n">
        <v>3.8</v>
      </c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5" t="e">
        <f aca="false">IF(D23="",0,VLOOKUP(D23,D$22:D22,1,0))</f>
        <v>#N/A</v>
      </c>
      <c r="F23" s="206" t="n">
        <f aca="false">($B23*$B$7+$C23*$C$7)/100</f>
        <v>7.22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7.22</v>
      </c>
      <c r="R23" s="215" t="n">
        <f aca="false">IF(OR(ISTEXT(H23),Q23=0),"",IF(Q23&lt;0.1,1,IF(Q23&lt;1,2,IF(Q23&lt;10,3,IF(Q23&lt;50,4,IF(Q23&gt;=50,5,""))))))</f>
        <v>3</v>
      </c>
      <c r="S23" s="215" t="n">
        <f aca="false">IF(ISERROR(R23*I23),0,R23*I23)</f>
        <v>18</v>
      </c>
      <c r="T23" s="215" t="n">
        <f aca="false">IF(ISERROR(R23*I23*J23),0,R23*I23*J23)</f>
        <v>18</v>
      </c>
      <c r="U23" s="215" t="n">
        <f aca="false">IF(ISERROR(R23*J23),0,R23*J23)</f>
        <v>3</v>
      </c>
      <c r="V23" s="216" t="n">
        <v>3</v>
      </c>
      <c r="W23" s="217"/>
      <c r="X23" s="217"/>
      <c r="Y23" s="218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79</v>
      </c>
      <c r="B24" s="222" t="n">
        <v>0.08</v>
      </c>
      <c r="C24" s="223" t="n">
        <v>0.04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Microspora sp.</v>
      </c>
      <c r="E24" s="224" t="e">
        <f aca="false">IF(D24="",0,VLOOKUP(D24,D$22:D23,1,0))</f>
        <v>#N/A</v>
      </c>
      <c r="F24" s="225" t="n">
        <f aca="false">($B24*$B$7+$C24*$C$7)/100</f>
        <v>0.076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12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Microspora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1132</v>
      </c>
      <c r="Q24" s="214" t="n">
        <f aca="false">IF(ISTEXT(H24),"",(B24*$B$7/100)+(C24*$C$7/100))</f>
        <v>0.076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12</v>
      </c>
      <c r="T24" s="215" t="n">
        <f aca="false">IF(ISERROR(R24*I24*J24),0,R24*I24*J24)</f>
        <v>24</v>
      </c>
      <c r="U24" s="229" t="n">
        <f aca="false">IF(ISERROR(R24*J24),0,R24*J24)</f>
        <v>2</v>
      </c>
      <c r="V24" s="216" t="n">
        <v>2</v>
      </c>
      <c r="W24" s="230"/>
      <c r="Y24" s="218" t="str">
        <f aca="false">IF(A24="new.cod","NEWCOD",IF(AND((Z24=""),ISTEXT(A24)),A24,IF(Z24="","",INDEX('[1]liste reference'!$A$7:$A$892,Z24))))</f>
        <v>MICSPX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466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80</v>
      </c>
      <c r="B25" s="222" t="n">
        <v>0</v>
      </c>
      <c r="C25" s="223" t="n">
        <v>0.01</v>
      </c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Nostoc sp.</v>
      </c>
      <c r="E25" s="224" t="e">
        <f aca="false">IF(D25="",0,VLOOKUP(D25,D$22:D24,1,0))</f>
        <v>#N/A</v>
      </c>
      <c r="F25" s="225" t="n">
        <f aca="false">($B25*$B$7+$C25*$C$7)/100</f>
        <v>0.001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9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Nostoc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115</v>
      </c>
      <c r="Q25" s="214" t="n">
        <f aca="false">IF(ISTEXT(H25),"",(B25*$B$7/100)+(C25*$C$7/100))</f>
        <v>0.001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9</v>
      </c>
      <c r="T25" s="215" t="n">
        <f aca="false">IF(ISERROR(R25*I25*J25),0,R25*I25*J25)</f>
        <v>9</v>
      </c>
      <c r="U25" s="229" t="n">
        <f aca="false">IF(ISERROR(R25*J25),0,R25*J25)</f>
        <v>1</v>
      </c>
      <c r="V25" s="216" t="n">
        <v>1</v>
      </c>
      <c r="W25" s="217"/>
      <c r="Y25" s="218" t="str">
        <f aca="false">IF(A25="new.cod","NEWCOD",IF(AND((Z25=""),ISTEXT(A25)),A25,IF(Z25="","",INDEX('[1]liste reference'!$A$7:$A$892,Z25))))</f>
        <v>NOSSPX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526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81</v>
      </c>
      <c r="B26" s="222" t="n">
        <v>12.37</v>
      </c>
      <c r="C26" s="223" t="n">
        <v>1.21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Vaucheria sp.</v>
      </c>
      <c r="E26" s="224" t="e">
        <f aca="false">IF(D26="",0,VLOOKUP(D26,D$22:D25,1,0))</f>
        <v>#N/A</v>
      </c>
      <c r="F26" s="225" t="n">
        <f aca="false">($B26*$B$7+$C26*$C$7)/100</f>
        <v>11.254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4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1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Vaucheria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4" t="n">
        <f aca="false">IF(ISTEXT(H26),"",(B26*$B$7/100)+(C26*$C$7/100))</f>
        <v>11.254</v>
      </c>
      <c r="R26" s="215" t="n">
        <f aca="false">IF(OR(ISTEXT(H26),Q26=0),"",IF(Q26&lt;0.1,1,IF(Q26&lt;1,2,IF(Q26&lt;10,3,IF(Q26&lt;50,4,IF(Q26&gt;=50,5,""))))))</f>
        <v>4</v>
      </c>
      <c r="S26" s="215" t="n">
        <f aca="false">IF(ISERROR(R26*I26),0,R26*I26)</f>
        <v>16</v>
      </c>
      <c r="T26" s="215" t="n">
        <f aca="false">IF(ISERROR(R26*I26*J26),0,R26*I26*J26)</f>
        <v>16</v>
      </c>
      <c r="U26" s="229" t="n">
        <f aca="false">IF(ISERROR(R26*J26),0,R26*J26)</f>
        <v>4</v>
      </c>
      <c r="V26" s="216" t="n">
        <v>4</v>
      </c>
      <c r="W26" s="217"/>
      <c r="Y26" s="218" t="str">
        <f aca="false">IF(A26="new.cod","NEWCOD",IF(AND((Z26=""),ISTEXT(A26)),A26,IF(Z26="","",INDEX('[1]liste reference'!$A$7:$A$892,Z26))))</f>
        <v>VAUSPX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864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82</v>
      </c>
      <c r="B27" s="222" t="n">
        <v>0.5</v>
      </c>
      <c r="C27" s="223" t="n">
        <v>0.5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Aneura pinguis</v>
      </c>
      <c r="E27" s="224" t="e">
        <f aca="false">IF(D27="",0,VLOOKUP(D27,D$22:D26,1,0))</f>
        <v>#N/A</v>
      </c>
      <c r="F27" s="225" t="n">
        <f aca="false">($B27*$B$7+$C27*$C$7)/100</f>
        <v>0.5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BRh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4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14</v>
      </c>
      <c r="J27" s="210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Aneura pinguis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126</v>
      </c>
      <c r="Q27" s="214" t="n">
        <f aca="false">IF(ISTEXT(H27),"",(B27*$B$7/100)+(C27*$C$7/100))</f>
        <v>0.5</v>
      </c>
      <c r="R27" s="215" t="n">
        <f aca="false">IF(OR(ISTEXT(H27),Q27=0),"",IF(Q27&lt;0.1,1,IF(Q27&lt;1,2,IF(Q27&lt;10,3,IF(Q27&lt;50,4,IF(Q27&gt;=50,5,""))))))</f>
        <v>2</v>
      </c>
      <c r="S27" s="215" t="n">
        <f aca="false">IF(ISERROR(R27*I27),0,R27*I27)</f>
        <v>28</v>
      </c>
      <c r="T27" s="215" t="n">
        <f aca="false">IF(ISERROR(R27*I27*J27),0,R27*I27*J27)</f>
        <v>56</v>
      </c>
      <c r="U27" s="229" t="n">
        <f aca="false">IF(ISERROR(R27*J27),0,R27*J27)</f>
        <v>4</v>
      </c>
      <c r="V27" s="216" t="n">
        <v>4</v>
      </c>
      <c r="W27" s="217"/>
      <c r="Y27" s="218" t="str">
        <f aca="false">IF(A27="new.cod","NEWCOD",IF(AND((Z27=""),ISTEXT(A27)),A27,IF(Z27="","",INDEX('[1]liste reference'!$A$7:$A$892,Z27))))</f>
        <v>ANEPIN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28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83</v>
      </c>
      <c r="B28" s="222" t="n">
        <v>0</v>
      </c>
      <c r="C28" s="223" t="n">
        <v>0.01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Conocephalum conicum</v>
      </c>
      <c r="E28" s="224" t="e">
        <f aca="false">IF(D28="",0,VLOOKUP(D28,D$22:D27,1,0))</f>
        <v>#N/A</v>
      </c>
      <c r="F28" s="225" t="n">
        <f aca="false">($B28*$B$7+$C28*$C$7)/100</f>
        <v>0.001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BRh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4</v>
      </c>
      <c r="I28" s="227" t="str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/>
      </c>
      <c r="J28" s="210" t="str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/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Conocephalum conicum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1176</v>
      </c>
      <c r="Q28" s="214" t="n">
        <f aca="false">IF(ISTEXT(H28),"",(B28*$B$7/100)+(C28*$C$7/100))</f>
        <v>0.001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8" t="str">
        <f aca="false">IF(A28="new.cod","NEWCOD",IF(AND((Z28=""),ISTEXT(A28)),A28,IF(Z28="","",INDEX('[1]liste reference'!$A$7:$A$892,Z28))))</f>
        <v>CONCON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189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84</v>
      </c>
      <c r="B29" s="222" t="n">
        <v>0</v>
      </c>
      <c r="C29" s="223" t="n">
        <v>0.01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Jungermannia sp.</v>
      </c>
      <c r="E29" s="224" t="e">
        <f aca="false">IF(D29="",0,VLOOKUP(D29,D$22:D28,1,0))</f>
        <v>#N/A</v>
      </c>
      <c r="F29" s="225" t="n">
        <f aca="false">($B29*$B$7+$C29*$C$7)/100</f>
        <v>0.001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BRh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4</v>
      </c>
      <c r="I29" s="227" t="str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/>
      </c>
      <c r="J29" s="210" t="str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/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Jungermannia sp.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19826</v>
      </c>
      <c r="Q29" s="214" t="n">
        <f aca="false">IF(ISTEXT(H29),"",(B29*$B$7/100)+(C29*$C$7/100))</f>
        <v>0.001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8" t="str">
        <f aca="false">IF(A29="new.cod","NEWCOD",IF(AND((Z29=""),ISTEXT(A29)),A29,IF(Z29="","",INDEX('[1]liste reference'!$A$7:$A$892,Z29))))</f>
        <v>JUGSPX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388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85</v>
      </c>
      <c r="B30" s="222" t="n">
        <v>0</v>
      </c>
      <c r="C30" s="223" t="n">
        <v>0.08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Marchantia polymorpha</v>
      </c>
      <c r="E30" s="224" t="e">
        <f aca="false">IF(D30="",0,VLOOKUP(D30,D$22:D29,1,0))</f>
        <v>#N/A</v>
      </c>
      <c r="F30" s="225" t="n">
        <f aca="false">($B30*$B$7+$C30*$C$7)/100</f>
        <v>0.008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BRh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4</v>
      </c>
      <c r="I30" s="227" t="str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/>
      </c>
      <c r="J30" s="210" t="str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/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Marchantia polymorpha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1192</v>
      </c>
      <c r="Q30" s="214" t="n">
        <f aca="false">IF(ISTEXT(H30),"",(B30*$B$7/100)+(C30*$C$7/100))</f>
        <v>0.008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8" t="str">
        <f aca="false">IF(A30="new.cod","NEWCOD",IF(AND((Z30=""),ISTEXT(A30)),A30,IF(Z30="","",INDEX('[1]liste reference'!$A$7:$A$892,Z30))))</f>
        <v>MACPOL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447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86</v>
      </c>
      <c r="B31" s="222" t="n">
        <v>10</v>
      </c>
      <c r="C31" s="223" t="n">
        <v>0.51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Amblystegium riparium</v>
      </c>
      <c r="E31" s="224" t="e">
        <f aca="false">IF(D31="",0,VLOOKUP(D31,D$22:D30,1,0))</f>
        <v>#N/A</v>
      </c>
      <c r="F31" s="225" t="n">
        <f aca="false">($B31*$B$7+$C31*$C$7)/100</f>
        <v>9.051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BRm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5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5</v>
      </c>
      <c r="J31" s="210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2</v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Amblystegium riparium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1219</v>
      </c>
      <c r="Q31" s="214" t="n">
        <f aca="false">IF(ISTEXT(H31),"",(B31*$B$7/100)+(C31*$C$7/100))</f>
        <v>9.051</v>
      </c>
      <c r="R31" s="215" t="n">
        <f aca="false">IF(OR(ISTEXT(H31),Q31=0),"",IF(Q31&lt;0.1,1,IF(Q31&lt;1,2,IF(Q31&lt;10,3,IF(Q31&lt;50,4,IF(Q31&gt;=50,5,""))))))</f>
        <v>3</v>
      </c>
      <c r="S31" s="215" t="n">
        <f aca="false">IF(ISERROR(R31*I31),0,R31*I31)</f>
        <v>15</v>
      </c>
      <c r="T31" s="215" t="n">
        <f aca="false">IF(ISERROR(R31*I31*J31),0,R31*I31*J31)</f>
        <v>30</v>
      </c>
      <c r="U31" s="229" t="n">
        <f aca="false">IF(ISERROR(R31*J31),0,R31*J31)</f>
        <v>6</v>
      </c>
      <c r="V31" s="216" t="n">
        <v>6</v>
      </c>
      <c r="W31" s="217"/>
      <c r="Y31" s="218" t="str">
        <f aca="false">IF(A31="new.cod","NEWCOD",IF(AND((Z31=""),ISTEXT(A31)),A31,IF(Z31="","",INDEX('[1]liste reference'!$A$7:$A$892,Z31))))</f>
        <v>AMBRIP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24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87</v>
      </c>
      <c r="B32" s="222" t="n">
        <v>20</v>
      </c>
      <c r="C32" s="223" t="n">
        <v>0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Cinclidotus danubicus</v>
      </c>
      <c r="E32" s="224" t="e">
        <f aca="false">IF(D32="",0,VLOOKUP(D32,D$22:D31,1,0))</f>
        <v>#N/A</v>
      </c>
      <c r="F32" s="225" t="n">
        <f aca="false">($B32*$B$7+$C32*$C$7)/100</f>
        <v>18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BRm</v>
      </c>
      <c r="H32" s="208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5</v>
      </c>
      <c r="I32" s="227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13</v>
      </c>
      <c r="J32" s="210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3</v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Cinclidotus danubicus</v>
      </c>
      <c r="L32" s="228"/>
      <c r="M32" s="228"/>
      <c r="N32" s="228"/>
      <c r="O32" s="213" t="str">
        <f aca="false">IF(AA32="Cf.","Cf.","")</f>
        <v/>
      </c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1319</v>
      </c>
      <c r="Q32" s="214" t="n">
        <f aca="false">IF(ISTEXT(H32),"",(B32*$B$7/100)+(C32*$C$7/100))</f>
        <v>18</v>
      </c>
      <c r="R32" s="215" t="n">
        <f aca="false">IF(OR(ISTEXT(H32),Q32=0),"",IF(Q32&lt;0.1,1,IF(Q32&lt;1,2,IF(Q32&lt;10,3,IF(Q32&lt;50,4,IF(Q32&gt;=50,5,""))))))</f>
        <v>4</v>
      </c>
      <c r="S32" s="215" t="n">
        <f aca="false">IF(ISERROR(R32*I32),0,R32*I32)</f>
        <v>52</v>
      </c>
      <c r="T32" s="215" t="n">
        <f aca="false">IF(ISERROR(R32*I32*J32),0,R32*I32*J32)</f>
        <v>156</v>
      </c>
      <c r="U32" s="229" t="n">
        <f aca="false">IF(ISERROR(R32*J32),0,R32*J32)</f>
        <v>12</v>
      </c>
      <c r="V32" s="216" t="n">
        <v>12</v>
      </c>
      <c r="W32" s="217"/>
      <c r="Y32" s="218" t="str">
        <f aca="false">IF(A32="new.cod","NEWCOD",IF(AND((Z32=""),ISTEXT(A32)),A32,IF(Z32="","",INDEX('[1]liste reference'!$A$7:$A$892,Z32))))</f>
        <v>CINDAN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174</v>
      </c>
      <c r="AA32" s="219"/>
      <c r="AB32" s="220"/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 t="s">
        <v>88</v>
      </c>
      <c r="B33" s="222" t="n">
        <v>0</v>
      </c>
      <c r="C33" s="223" t="n">
        <v>0.2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Cratoneuron filicinum</v>
      </c>
      <c r="E33" s="224" t="e">
        <f aca="false">IF(D33="",0,VLOOKUP(D33,D$22:D32,1,0))</f>
        <v>#N/A</v>
      </c>
      <c r="F33" s="225" t="n">
        <f aca="false">($B33*$B$7+$C33*$C$7)/100</f>
        <v>0.02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BRm</v>
      </c>
      <c r="H33" s="208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5</v>
      </c>
      <c r="I33" s="227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18</v>
      </c>
      <c r="J33" s="210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3</v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Cratoneuron filicinum</v>
      </c>
      <c r="L33" s="228"/>
      <c r="M33" s="228"/>
      <c r="N33" s="228"/>
      <c r="O33" s="213" t="str">
        <f aca="false">IF(AA33="Cf.","Cf.","")</f>
        <v/>
      </c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1233</v>
      </c>
      <c r="Q33" s="214" t="n">
        <f aca="false">IF(ISTEXT(H33),"",(B33*$B$7/100)+(C33*$C$7/100))</f>
        <v>0.02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18</v>
      </c>
      <c r="T33" s="215" t="n">
        <f aca="false">IF(ISERROR(R33*I33*J33),0,R33*I33*J33)</f>
        <v>54</v>
      </c>
      <c r="U33" s="229" t="n">
        <f aca="false">IF(ISERROR(R33*J33),0,R33*J33)</f>
        <v>3</v>
      </c>
      <c r="V33" s="216" t="n">
        <v>3</v>
      </c>
      <c r="W33" s="217"/>
      <c r="Y33" s="218" t="str">
        <f aca="false">IF(A33="new.cod","NEWCOD",IF(AND((Z33=""),ISTEXT(A33)),A33,IF(Z33="","",INDEX('[1]liste reference'!$A$7:$A$892,Z33))))</f>
        <v>CRAFIL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193</v>
      </c>
      <c r="AA33" s="219"/>
      <c r="AB33" s="220"/>
      <c r="AC33" s="220"/>
      <c r="BC33" s="10" t="n">
        <f aca="false">IF(A33="","",1)</f>
        <v>1</v>
      </c>
    </row>
    <row r="34" customFormat="false" ht="12.75" hidden="false" customHeight="false" outlineLevel="0" collapsed="false">
      <c r="A34" s="221" t="s">
        <v>89</v>
      </c>
      <c r="B34" s="222" t="n">
        <v>0.1</v>
      </c>
      <c r="C34" s="223" t="n">
        <v>3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Fontinalis antipyretica</v>
      </c>
      <c r="E34" s="224" t="e">
        <f aca="false">IF(D34="",0,VLOOKUP(D34,D$22:D33,1,0))</f>
        <v>#N/A</v>
      </c>
      <c r="F34" s="231" t="n">
        <f aca="false">($B34*$B$7+$C34*$C$7)/100</f>
        <v>0.39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BRm</v>
      </c>
      <c r="H34" s="208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5</v>
      </c>
      <c r="I34" s="227" t="n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>10</v>
      </c>
      <c r="J34" s="210" t="n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>1</v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Fontinalis antipyretica</v>
      </c>
      <c r="L34" s="228"/>
      <c r="M34" s="228"/>
      <c r="N34" s="228"/>
      <c r="O34" s="213" t="str">
        <f aca="false">IF(AA34="Cf.","Cf.","")</f>
        <v/>
      </c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</v>
      </c>
      <c r="Q34" s="214" t="n">
        <f aca="false">IF(ISTEXT(H34),"",(B34*$B$7/100)+(C34*$C$7/100))</f>
        <v>0.39</v>
      </c>
      <c r="R34" s="215" t="n">
        <f aca="false">IF(OR(ISTEXT(H34),Q34=0),"",IF(Q34&lt;0.1,1,IF(Q34&lt;1,2,IF(Q34&lt;10,3,IF(Q34&lt;50,4,IF(Q34&gt;=50,5,""))))))</f>
        <v>2</v>
      </c>
      <c r="S34" s="215" t="n">
        <f aca="false">IF(ISERROR(R34*I34),0,R34*I34)</f>
        <v>20</v>
      </c>
      <c r="T34" s="215" t="n">
        <f aca="false">IF(ISERROR(R34*I34*J34),0,R34*I34*J34)</f>
        <v>20</v>
      </c>
      <c r="U34" s="229" t="n">
        <f aca="false">IF(ISERROR(R34*J34),0,R34*J34)</f>
        <v>2</v>
      </c>
      <c r="V34" s="216" t="n">
        <v>2</v>
      </c>
      <c r="W34" s="217"/>
      <c r="Y34" s="218" t="str">
        <f aca="false">IF(A34="new.cod","NEWCOD",IF(AND((Z34=""),ISTEXT(A34)),A34,IF(Z34="","",INDEX('[1]liste reference'!$A$7:$A$892,Z34))))</f>
        <v>FONANT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304</v>
      </c>
      <c r="AA34" s="219"/>
      <c r="AB34" s="220"/>
      <c r="AC34" s="220"/>
      <c r="BC34" s="10" t="n">
        <f aca="false">IF(A34="","",1)</f>
        <v>1</v>
      </c>
    </row>
    <row r="35" customFormat="false" ht="12.75" hidden="false" customHeight="false" outlineLevel="0" collapsed="false">
      <c r="A35" s="221" t="s">
        <v>90</v>
      </c>
      <c r="B35" s="222" t="n">
        <v>0</v>
      </c>
      <c r="C35" s="223" t="n">
        <v>0.01</v>
      </c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Agrostis stolonifera</v>
      </c>
      <c r="E35" s="224" t="e">
        <f aca="false">IF(D35="",0,VLOOKUP(D35,D$22:D34,1,0))</f>
        <v>#N/A</v>
      </c>
      <c r="F35" s="231" t="n">
        <f aca="false">($B35*$B$7+$C35*$C$7)/100</f>
        <v>0.001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PHe</v>
      </c>
      <c r="H35" s="208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8</v>
      </c>
      <c r="I35" s="227" t="n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>10</v>
      </c>
      <c r="J35" s="210" t="n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>1</v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Agrostis stolonifera</v>
      </c>
      <c r="L35" s="228"/>
      <c r="M35" s="228"/>
      <c r="N35" s="228"/>
      <c r="O35" s="213" t="str">
        <f aca="false">IF(AA35="Cf.","Cf.","")</f>
        <v/>
      </c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1543</v>
      </c>
      <c r="Q35" s="214" t="n">
        <f aca="false">IF(ISTEXT(H35),"",(B35*$B$7/100)+(C35*$C$7/100))</f>
        <v>0.001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10</v>
      </c>
      <c r="T35" s="215" t="n">
        <f aca="false">IF(ISERROR(R35*I35*J35),0,R35*I35*J35)</f>
        <v>10</v>
      </c>
      <c r="U35" s="229" t="n">
        <f aca="false">IF(ISERROR(R35*J35),0,R35*J35)</f>
        <v>1</v>
      </c>
      <c r="V35" s="216" t="n">
        <v>1</v>
      </c>
      <c r="W35" s="217"/>
      <c r="Y35" s="218" t="str">
        <f aca="false">IF(A35="new.cod","NEWCOD",IF(AND((Z35=""),ISTEXT(A35)),A35,IF(Z35="","",INDEX('[1]liste reference'!$A$7:$A$892,Z35))))</f>
        <v>AGRSTO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8</v>
      </c>
      <c r="AA35" s="219"/>
      <c r="AB35" s="220"/>
      <c r="AC35" s="220"/>
      <c r="BC35" s="10" t="n">
        <f aca="false">IF(A35="","",1)</f>
        <v>1</v>
      </c>
    </row>
    <row r="36" customFormat="false" ht="12.75" hidden="false" customHeight="false" outlineLevel="0" collapsed="false">
      <c r="A36" s="221" t="s">
        <v>91</v>
      </c>
      <c r="B36" s="222" t="n">
        <v>0</v>
      </c>
      <c r="C36" s="223" t="n">
        <v>0.5</v>
      </c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Berula erecta</v>
      </c>
      <c r="E36" s="224" t="e">
        <f aca="false">IF(D36="",0,VLOOKUP(D36,D$22:D35,1,0))</f>
        <v>#N/A</v>
      </c>
      <c r="F36" s="231" t="n">
        <f aca="false">($B36*$B$7+$C36*$C$7)/100</f>
        <v>0.05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PHe</v>
      </c>
      <c r="H36" s="208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8</v>
      </c>
      <c r="I36" s="227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14</v>
      </c>
      <c r="J36" s="210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2</v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Berula erecta</v>
      </c>
      <c r="L36" s="228"/>
      <c r="M36" s="228"/>
      <c r="N36" s="228"/>
      <c r="O36" s="213" t="str">
        <f aca="false">IF(AA36="Cf.","Cf.","")</f>
        <v/>
      </c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1977</v>
      </c>
      <c r="Q36" s="214" t="n">
        <f aca="false">IF(ISTEXT(H36),"",(B36*$B$7/100)+(C36*$C$7/100))</f>
        <v>0.05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14</v>
      </c>
      <c r="T36" s="215" t="n">
        <f aca="false">IF(ISERROR(R36*I36*J36),0,R36*I36*J36)</f>
        <v>28</v>
      </c>
      <c r="U36" s="229" t="n">
        <f aca="false">IF(ISERROR(R36*J36),0,R36*J36)</f>
        <v>2</v>
      </c>
      <c r="V36" s="216" t="n">
        <v>2</v>
      </c>
      <c r="W36" s="217"/>
      <c r="Y36" s="218" t="str">
        <f aca="false">IF(A36="new.cod","NEWCOD",IF(AND((Z36=""),ISTEXT(A36)),A36,IF(Z36="","",INDEX('[1]liste reference'!$A$7:$A$892,Z36))))</f>
        <v>BERERE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59</v>
      </c>
      <c r="AA36" s="219"/>
      <c r="AB36" s="220"/>
      <c r="AC36" s="220"/>
      <c r="BC36" s="10" t="n">
        <f aca="false">IF(A36="","",1)</f>
        <v>1</v>
      </c>
    </row>
    <row r="37" customFormat="false" ht="12.75" hidden="false" customHeight="false" outlineLevel="0" collapsed="false">
      <c r="A37" s="221" t="s">
        <v>92</v>
      </c>
      <c r="B37" s="222" t="n">
        <v>0.01</v>
      </c>
      <c r="C37" s="223" t="n">
        <v>0.1</v>
      </c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Carex elata</v>
      </c>
      <c r="E37" s="224" t="e">
        <f aca="false">IF(D37="",0,VLOOKUP(D37,D$22:D36,1,0))</f>
        <v>#N/A</v>
      </c>
      <c r="F37" s="231" t="n">
        <f aca="false">($B37*$B$7+$C37*$C$7)/100</f>
        <v>0.019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PHe</v>
      </c>
      <c r="H37" s="208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8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0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Carex elata</v>
      </c>
      <c r="L37" s="228"/>
      <c r="M37" s="228"/>
      <c r="N37" s="228"/>
      <c r="O37" s="213" t="str">
        <f aca="false">IF(AA37="Cf.","Cf.","")</f>
        <v/>
      </c>
      <c r="P37" s="213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1475</v>
      </c>
      <c r="Q37" s="214" t="n">
        <f aca="false">IF(ISTEXT(H37),"",(B37*$B$7/100)+(C37*$C$7/100))</f>
        <v>0.019</v>
      </c>
      <c r="R37" s="215" t="n">
        <f aca="false">IF(OR(ISTEXT(H37),Q37=0),"",IF(Q37&lt;0.1,1,IF(Q37&lt;1,2,IF(Q37&lt;10,3,IF(Q37&lt;50,4,IF(Q37&gt;=50,5,""))))))</f>
        <v>1</v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8" t="str">
        <f aca="false">IF(A37="new.cod","NEWCOD",IF(AND((Z37=""),ISTEXT(A37)),A37,IF(Z37="","",INDEX('[1]liste reference'!$A$7:$A$892,Z37))))</f>
        <v>CARELA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123</v>
      </c>
      <c r="AA37" s="219"/>
      <c r="AB37" s="220"/>
      <c r="AC37" s="220"/>
      <c r="BC37" s="10" t="n">
        <f aca="false">IF(A37="","",1)</f>
        <v>1</v>
      </c>
    </row>
    <row r="38" customFormat="false" ht="12.75" hidden="false" customHeight="false" outlineLevel="0" collapsed="false">
      <c r="A38" s="221" t="s">
        <v>93</v>
      </c>
      <c r="B38" s="222" t="n">
        <v>0.2</v>
      </c>
      <c r="C38" s="223" t="n">
        <v>1</v>
      </c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Glyceria fluitans</v>
      </c>
      <c r="E38" s="224" t="e">
        <f aca="false">IF(D38="",0,VLOOKUP(D38,D$22:D37,1,0))</f>
        <v>#N/A</v>
      </c>
      <c r="F38" s="231" t="n">
        <f aca="false">($B38*$B$7+$C38*$C$7)/100</f>
        <v>0.28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PHe</v>
      </c>
      <c r="H38" s="208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8</v>
      </c>
      <c r="I38" s="227" t="n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>14</v>
      </c>
      <c r="J38" s="210" t="n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>2</v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Glyceria fluitans</v>
      </c>
      <c r="L38" s="228"/>
      <c r="M38" s="228"/>
      <c r="N38" s="228"/>
      <c r="O38" s="213" t="str">
        <f aca="false">IF(AA38="Cf.","Cf.","")</f>
        <v/>
      </c>
      <c r="P38" s="213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1564</v>
      </c>
      <c r="Q38" s="214" t="n">
        <f aca="false">IF(ISTEXT(H38),"",(B38*$B$7/100)+(C38*$C$7/100))</f>
        <v>0.28</v>
      </c>
      <c r="R38" s="215" t="n">
        <f aca="false">IF(OR(ISTEXT(H38),Q38=0),"",IF(Q38&lt;0.1,1,IF(Q38&lt;1,2,IF(Q38&lt;10,3,IF(Q38&lt;50,4,IF(Q38&gt;=50,5,""))))))</f>
        <v>2</v>
      </c>
      <c r="S38" s="215" t="n">
        <f aca="false">IF(ISERROR(R38*I38),0,R38*I38)</f>
        <v>28</v>
      </c>
      <c r="T38" s="215" t="n">
        <f aca="false">IF(ISERROR(R38*I38*J38),0,R38*I38*J38)</f>
        <v>56</v>
      </c>
      <c r="U38" s="229" t="n">
        <f aca="false">IF(ISERROR(R38*J38),0,R38*J38)</f>
        <v>4</v>
      </c>
      <c r="V38" s="216" t="n">
        <v>4</v>
      </c>
      <c r="W38" s="217"/>
      <c r="Y38" s="218" t="str">
        <f aca="false">IF(A38="new.cod","NEWCOD",IF(AND((Z38=""),ISTEXT(A38)),A38,IF(Z38="","",INDEX('[1]liste reference'!$A$7:$A$892,Z38))))</f>
        <v>GLYFLU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320</v>
      </c>
      <c r="AA38" s="219"/>
      <c r="AB38" s="220"/>
      <c r="AC38" s="220"/>
      <c r="BC38" s="10" t="n">
        <f aca="false">IF(A38="","",1)</f>
        <v>1</v>
      </c>
    </row>
    <row r="39" customFormat="false" ht="12.75" hidden="false" customHeight="false" outlineLevel="0" collapsed="false">
      <c r="A39" s="221" t="s">
        <v>94</v>
      </c>
      <c r="B39" s="222" t="n">
        <v>0</v>
      </c>
      <c r="C39" s="223" t="n">
        <v>0.01</v>
      </c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>Lycopus europaeus</v>
      </c>
      <c r="E39" s="224" t="e">
        <f aca="false">IF(D39="",0,VLOOKUP(D39,D$22:D38,1,0))</f>
        <v>#N/A</v>
      </c>
      <c r="F39" s="231" t="n">
        <f aca="false">($B39*$B$7+$C39*$C$7)/100</f>
        <v>0.001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PHe</v>
      </c>
      <c r="H39" s="208" t="n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8</v>
      </c>
      <c r="I39" s="227" t="n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>11</v>
      </c>
      <c r="J39" s="210" t="n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>1</v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Lycopus europaeus</v>
      </c>
      <c r="L39" s="228"/>
      <c r="M39" s="228"/>
      <c r="N39" s="228"/>
      <c r="O39" s="213" t="str">
        <f aca="false">IF(AA39="Cf.","Cf.","")</f>
        <v/>
      </c>
      <c r="P39" s="213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1789</v>
      </c>
      <c r="Q39" s="214" t="n">
        <f aca="false">IF(ISTEXT(H39),"",(B39*$B$7/100)+(C39*$C$7/100))</f>
        <v>0.001</v>
      </c>
      <c r="R39" s="215" t="n">
        <f aca="false">IF(OR(ISTEXT(H39),Q39=0),"",IF(Q39&lt;0.1,1,IF(Q39&lt;1,2,IF(Q39&lt;10,3,IF(Q39&lt;50,4,IF(Q39&gt;=50,5,""))))))</f>
        <v>1</v>
      </c>
      <c r="S39" s="215" t="n">
        <f aca="false">IF(ISERROR(R39*I39),0,R39*I39)</f>
        <v>11</v>
      </c>
      <c r="T39" s="215" t="n">
        <f aca="false">IF(ISERROR(R39*I39*J39),0,R39*I39*J39)</f>
        <v>11</v>
      </c>
      <c r="U39" s="229" t="n">
        <f aca="false">IF(ISERROR(R39*J39),0,R39*J39)</f>
        <v>1</v>
      </c>
      <c r="V39" s="216" t="n">
        <v>1</v>
      </c>
      <c r="W39" s="217"/>
      <c r="Y39" s="218" t="str">
        <f aca="false">IF(A39="new.cod","NEWCOD",IF(AND((Z39=""),ISTEXT(A39)),A39,IF(Z39="","",INDEX('[1]liste reference'!$A$7:$A$892,Z39))))</f>
        <v>LYCEUR</v>
      </c>
      <c r="Z39" s="10" t="n">
        <f aca="false">IF(ISERROR(MATCH(A39,'[1]liste reference'!$A$7:$A$892,0)),IF(ISERROR(MATCH(A39,'[1]liste reference'!$B$7:$B$892,0)),"",(MATCH(A39,'[1]liste reference'!$B$7:$B$892,0))),(MATCH(A39,'[1]liste reference'!$A$7:$A$892,0)))</f>
        <v>433</v>
      </c>
      <c r="AA39" s="219"/>
      <c r="AB39" s="220"/>
      <c r="AC39" s="220"/>
      <c r="BC39" s="10" t="n">
        <f aca="false">IF(A39="","",1)</f>
        <v>1</v>
      </c>
    </row>
    <row r="40" customFormat="false" ht="12.75" hidden="false" customHeight="false" outlineLevel="0" collapsed="false">
      <c r="A40" s="221" t="s">
        <v>95</v>
      </c>
      <c r="B40" s="222" t="n">
        <v>0.3</v>
      </c>
      <c r="C40" s="223" t="n">
        <v>5</v>
      </c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>Mentha longifolia</v>
      </c>
      <c r="E40" s="224" t="e">
        <f aca="false">IF(D40="",0,VLOOKUP(D40,D$22:D39,1,0))</f>
        <v>#N/A</v>
      </c>
      <c r="F40" s="231" t="n">
        <f aca="false">($B40*$B$7+$C40*$C$7)/100</f>
        <v>0.77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PHe</v>
      </c>
      <c r="H40" s="208" t="n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8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Mentha longifolia</v>
      </c>
      <c r="L40" s="228"/>
      <c r="M40" s="228"/>
      <c r="N40" s="228"/>
      <c r="O40" s="213" t="str">
        <f aca="false">IF(AA40="Cf.","Cf.","")</f>
        <v/>
      </c>
      <c r="P40" s="213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19856</v>
      </c>
      <c r="Q40" s="214" t="n">
        <f aca="false">IF(ISTEXT(H40),"",(B40*$B$7/100)+(C40*$C$7/100))</f>
        <v>0.77</v>
      </c>
      <c r="R40" s="215" t="n">
        <f aca="false">IF(OR(ISTEXT(H40),Q40=0),"",IF(Q40&lt;0.1,1,IF(Q40&lt;1,2,IF(Q40&lt;10,3,IF(Q40&lt;50,4,IF(Q40&gt;=50,5,""))))))</f>
        <v>2</v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>MENLON</v>
      </c>
      <c r="Z40" s="10" t="n">
        <f aca="false">IF(ISERROR(MATCH(A40,'[1]liste reference'!$A$7:$A$892,0)),IF(ISERROR(MATCH(A40,'[1]liste reference'!$B$7:$B$892,0)),"",(MATCH(A40,'[1]liste reference'!$B$7:$B$892,0))),(MATCH(A40,'[1]liste reference'!$A$7:$A$892,0)))</f>
        <v>460</v>
      </c>
      <c r="AA40" s="219"/>
      <c r="AB40" s="220"/>
      <c r="AC40" s="220"/>
      <c r="BC40" s="10" t="n">
        <f aca="false">IF(A40="","",1)</f>
        <v>1</v>
      </c>
    </row>
    <row r="41" customFormat="false" ht="12.75" hidden="false" customHeight="false" outlineLevel="0" collapsed="false">
      <c r="A41" s="221" t="s">
        <v>96</v>
      </c>
      <c r="B41" s="222" t="n">
        <v>0</v>
      </c>
      <c r="C41" s="223" t="n">
        <v>0.01</v>
      </c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>Rorippa amphibia</v>
      </c>
      <c r="E41" s="224" t="e">
        <f aca="false">IF(D41="",0,VLOOKUP(D41,D$22:D40,1,0))</f>
        <v>#N/A</v>
      </c>
      <c r="F41" s="231" t="n">
        <f aca="false">($B41*$B$7+$C41*$C$7)/100</f>
        <v>0.001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>PHe</v>
      </c>
      <c r="H41" s="208" t="n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8</v>
      </c>
      <c r="I41" s="227" t="n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>9</v>
      </c>
      <c r="J41" s="210" t="n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>1</v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>Rorippa amphibia</v>
      </c>
      <c r="L41" s="228"/>
      <c r="M41" s="228"/>
      <c r="N41" s="228"/>
      <c r="O41" s="213" t="str">
        <f aca="false">IF(AA41="Cf.","Cf.","")</f>
        <v/>
      </c>
      <c r="P41" s="213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1765</v>
      </c>
      <c r="Q41" s="214" t="n">
        <f aca="false">IF(ISTEXT(H41),"",(B41*$B$7/100)+(C41*$C$7/100))</f>
        <v>0.001</v>
      </c>
      <c r="R41" s="215" t="n">
        <f aca="false">IF(OR(ISTEXT(H41),Q41=0),"",IF(Q41&lt;0.1,1,IF(Q41&lt;1,2,IF(Q41&lt;10,3,IF(Q41&lt;50,4,IF(Q41&gt;=50,5,""))))))</f>
        <v>1</v>
      </c>
      <c r="S41" s="215" t="n">
        <f aca="false">IF(ISERROR(R41*I41),0,R41*I41)</f>
        <v>9</v>
      </c>
      <c r="T41" s="215" t="n">
        <f aca="false">IF(ISERROR(R41*I41*J41),0,R41*I41*J41)</f>
        <v>9</v>
      </c>
      <c r="U41" s="229" t="n">
        <f aca="false">IF(ISERROR(R41*J41),0,R41*J41)</f>
        <v>1</v>
      </c>
      <c r="V41" s="216" t="n">
        <v>1</v>
      </c>
      <c r="W41" s="217"/>
      <c r="Y41" s="218" t="str">
        <f aca="false">IF(A41="new.cod","NEWCOD",IF(AND((Z41=""),ISTEXT(A41)),A41,IF(Z41="","",INDEX('[1]liste reference'!$A$7:$A$892,Z41))))</f>
        <v>RORAMP</v>
      </c>
      <c r="Z41" s="10" t="n">
        <f aca="false">IF(ISERROR(MATCH(A41,'[1]liste reference'!$A$7:$A$892,0)),IF(ISERROR(MATCH(A41,'[1]liste reference'!$B$7:$B$892,0)),"",(MATCH(A41,'[1]liste reference'!$B$7:$B$892,0))),(MATCH(A41,'[1]liste reference'!$A$7:$A$892,0)))</f>
        <v>720</v>
      </c>
      <c r="AA41" s="219"/>
      <c r="AB41" s="220"/>
      <c r="AC41" s="220"/>
      <c r="BC41" s="10" t="n">
        <f aca="false">IF(A41="","",1)</f>
        <v>1</v>
      </c>
    </row>
    <row r="42" customFormat="false" ht="12.75" hidden="false" customHeight="false" outlineLevel="0" collapsed="false">
      <c r="A42" s="221" t="s">
        <v>97</v>
      </c>
      <c r="B42" s="222" t="n">
        <v>0</v>
      </c>
      <c r="C42" s="223" t="n">
        <v>0.01</v>
      </c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>Cardamine pratensis</v>
      </c>
      <c r="E42" s="224" t="e">
        <f aca="false">IF(D42="",0,VLOOKUP(D42,D$22:D41,1,0))</f>
        <v>#N/A</v>
      </c>
      <c r="F42" s="231" t="n">
        <f aca="false">($B42*$B$7+$C42*$C$7)/100</f>
        <v>0.001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>PHg</v>
      </c>
      <c r="H42" s="208" t="n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9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>Cardamine pratensis</v>
      </c>
      <c r="L42" s="228"/>
      <c r="M42" s="228"/>
      <c r="N42" s="228"/>
      <c r="O42" s="213" t="str">
        <f aca="false">IF(AA42="Cf.","Cf.","")</f>
        <v/>
      </c>
      <c r="P42" s="213" t="n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>176</v>
      </c>
      <c r="Q42" s="214" t="n">
        <f aca="false">IF(ISTEXT(H42),"",(B42*$B$7/100)+(C42*$C$7/100))</f>
        <v>0.001</v>
      </c>
      <c r="R42" s="215" t="n">
        <f aca="false">IF(OR(ISTEXT(H42),Q42=0),"",IF(Q42&lt;0.1,1,IF(Q42&lt;1,2,IF(Q42&lt;10,3,IF(Q42&lt;50,4,IF(Q42&gt;=50,5,""))))))</f>
        <v>1</v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>CAMPRA</v>
      </c>
      <c r="Z42" s="10" t="n">
        <f aca="false">IF(ISERROR(MATCH(A42,'[1]liste reference'!$A$7:$A$892,0)),IF(ISERROR(MATCH(A42,'[1]liste reference'!$B$7:$B$892,0)),"",(MATCH(A42,'[1]liste reference'!$B$7:$B$892,0))),(MATCH(A42,'[1]liste reference'!$A$7:$A$892,0)))</f>
        <v>114</v>
      </c>
      <c r="AA42" s="219"/>
      <c r="AB42" s="220"/>
      <c r="AC42" s="220"/>
      <c r="BC42" s="10" t="n">
        <f aca="false">IF(A42="","",1)</f>
        <v>1</v>
      </c>
    </row>
    <row r="43" customFormat="false" ht="12.75" hidden="false" customHeight="false" outlineLevel="0" collapsed="false">
      <c r="A43" s="221" t="s">
        <v>98</v>
      </c>
      <c r="B43" s="222" t="n">
        <v>0</v>
      </c>
      <c r="C43" s="223" t="n">
        <v>0.01</v>
      </c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>Filipendula ulmaria</v>
      </c>
      <c r="E43" s="224" t="e">
        <f aca="false">IF(D43="",0,VLOOKUP(D43,D$22:D42,1,0))</f>
        <v>#N/A</v>
      </c>
      <c r="F43" s="231" t="n">
        <f aca="false">($B43*$B$7+$C43*$C$7)/100</f>
        <v>0.001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>PHg</v>
      </c>
      <c r="H43" s="208" t="n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9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>Filipendula ulmaria</v>
      </c>
      <c r="L43" s="228"/>
      <c r="M43" s="228"/>
      <c r="N43" s="228"/>
      <c r="O43" s="213" t="str">
        <f aca="false">IF(AA43="Cf.","Cf.","")</f>
        <v/>
      </c>
      <c r="P43" s="213" t="n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>1919</v>
      </c>
      <c r="Q43" s="214" t="n">
        <f aca="false">IF(ISTEXT(H43),"",(B43*$B$7/100)+(C43*$C$7/100))</f>
        <v>0.001</v>
      </c>
      <c r="R43" s="215" t="n">
        <f aca="false">IF(OR(ISTEXT(H43),Q43=0),"",IF(Q43&lt;0.1,1,IF(Q43&lt;1,2,IF(Q43&lt;10,3,IF(Q43&lt;50,4,IF(Q43&gt;=50,5,""))))))</f>
        <v>1</v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>FILULM</v>
      </c>
      <c r="Z43" s="10" t="n">
        <f aca="false">IF(ISERROR(MATCH(A43,'[1]liste reference'!$A$7:$A$892,0)),IF(ISERROR(MATCH(A43,'[1]liste reference'!$B$7:$B$892,0)),"",(MATCH(A43,'[1]liste reference'!$B$7:$B$892,0))),(MATCH(A43,'[1]liste reference'!$A$7:$A$892,0)))</f>
        <v>286</v>
      </c>
      <c r="AA43" s="219"/>
      <c r="AB43" s="220"/>
      <c r="AC43" s="220"/>
      <c r="BC43" s="10" t="n">
        <f aca="false">IF(A43="","",1)</f>
        <v>1</v>
      </c>
    </row>
    <row r="44" customFormat="false" ht="12.75" hidden="false" customHeight="false" outlineLevel="0" collapsed="false">
      <c r="A44" s="221" t="s">
        <v>99</v>
      </c>
      <c r="B44" s="222" t="n">
        <v>0</v>
      </c>
      <c r="C44" s="223" t="n">
        <v>0.01</v>
      </c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>Urtica dioica</v>
      </c>
      <c r="E44" s="224" t="e">
        <f aca="false">IF(D44="",0,VLOOKUP(D44,D$22:D43,1,0))</f>
        <v>#N/A</v>
      </c>
      <c r="F44" s="231" t="n">
        <f aca="false">($B44*$B$7+$C44*$C$7)/100</f>
        <v>0.001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>PHg</v>
      </c>
      <c r="H44" s="208" t="n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9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>Urtica dioica</v>
      </c>
      <c r="L44" s="228"/>
      <c r="M44" s="228"/>
      <c r="N44" s="228"/>
      <c r="O44" s="213" t="str">
        <f aca="false">IF(AA44="Cf.","Cf.","")</f>
        <v/>
      </c>
      <c r="P44" s="213" t="n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>2</v>
      </c>
      <c r="Q44" s="214" t="n">
        <f aca="false">IF(ISTEXT(H44),"",(B44*$B$7/100)+(C44*$C$7/100))</f>
        <v>0.001</v>
      </c>
      <c r="R44" s="215" t="n">
        <f aca="false">IF(OR(ISTEXT(H44),Q44=0),"",IF(Q44&lt;0.1,1,IF(Q44&lt;1,2,IF(Q44&lt;10,3,IF(Q44&lt;50,4,IF(Q44&gt;=50,5,""))))))</f>
        <v>1</v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>URTDIO</v>
      </c>
      <c r="Z44" s="10" t="n">
        <f aca="false">IF(ISERROR(MATCH(A44,'[1]liste reference'!$A$7:$A$892,0)),IF(ISERROR(MATCH(A44,'[1]liste reference'!$B$7:$B$892,0)),"",(MATCH(A44,'[1]liste reference'!$B$7:$B$892,0))),(MATCH(A44,'[1]liste reference'!$A$7:$A$892,0)))</f>
        <v>852</v>
      </c>
      <c r="AA44" s="219"/>
      <c r="AB44" s="220"/>
      <c r="AC44" s="220"/>
      <c r="BC44" s="10" t="n">
        <f aca="false">IF(A44="","",1)</f>
        <v>1</v>
      </c>
    </row>
    <row r="45" customFormat="false" ht="12.75" hidden="false" customHeight="false" outlineLevel="0" collapsed="false">
      <c r="A45" s="221" t="s">
        <v>100</v>
      </c>
      <c r="B45" s="222" t="n">
        <v>0.5</v>
      </c>
      <c r="C45" s="223" t="n">
        <v>20</v>
      </c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2.45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>    -</v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>Petasites sp.</v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>No</v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>newcod</v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 t="s">
        <v>101</v>
      </c>
      <c r="AC45" s="220"/>
      <c r="BC45" s="10" t="n">
        <f aca="false">IF(A45="","",1)</f>
        <v>1</v>
      </c>
    </row>
    <row r="46" customFormat="false" ht="12.75" hidden="false" customHeight="false" outlineLevel="0" collapsed="false">
      <c r="A46" s="221" t="s">
        <v>100</v>
      </c>
      <c r="B46" s="222" t="n">
        <v>0</v>
      </c>
      <c r="C46" s="223" t="n">
        <v>0.01</v>
      </c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IF(D46="",0,VLOOKUP(D46,D$22:D45,1,0))</f>
        <v>0</v>
      </c>
      <c r="F46" s="231" t="n">
        <f aca="false">($B46*$B$7+$C46*$C$7)/100</f>
        <v>0.001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>    -</v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>Hieracium sp.</v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>No</v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>newcod</v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 t="s">
        <v>102</v>
      </c>
      <c r="AC46" s="220"/>
      <c r="BC46" s="10" t="n">
        <f aca="false">IF(A46="","",1)</f>
        <v>1</v>
      </c>
    </row>
    <row r="47" customFormat="false" ht="12.75" hidden="false" customHeight="false" outlineLevel="0" collapsed="false">
      <c r="A47" s="221" t="s">
        <v>100</v>
      </c>
      <c r="B47" s="222" t="n">
        <v>0</v>
      </c>
      <c r="C47" s="223" t="n">
        <v>0.01</v>
      </c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IF(D47="",0,VLOOKUP(D47,D$22:D46,1,0))</f>
        <v>0</v>
      </c>
      <c r="F47" s="231" t="n">
        <f aca="false">($B47*$B$7+$C47*$C$7)/100</f>
        <v>0.001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>    -</v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>Hedera helix</v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>No</v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>newcod</v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 t="s">
        <v>103</v>
      </c>
      <c r="AC47" s="220"/>
      <c r="BC47" s="10" t="n">
        <f aca="false">IF(A47="","",1)</f>
        <v>1</v>
      </c>
    </row>
    <row r="48" customFormat="false" ht="12.75" hidden="false" customHeight="false" outlineLevel="0" collapsed="false">
      <c r="A48" s="221" t="s">
        <v>100</v>
      </c>
      <c r="B48" s="222" t="n">
        <v>0</v>
      </c>
      <c r="C48" s="223" t="n">
        <v>0.01</v>
      </c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IF(D48="",0,VLOOKUP(D48,D$22:D47,1,0))</f>
        <v>0</v>
      </c>
      <c r="F48" s="231" t="n">
        <f aca="false">($B48*$B$7+$C48*$C$7)/100</f>
        <v>0.001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>    -</v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>Rubus fruticosus</v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>No</v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>newcod</v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 t="s">
        <v>104</v>
      </c>
      <c r="AC48" s="220"/>
      <c r="BC48" s="10" t="n">
        <f aca="false">IF(A48="","",1)</f>
        <v>1</v>
      </c>
    </row>
    <row r="49" customFormat="false" ht="12.75" hidden="false" customHeight="false" outlineLevel="0" collapsed="false">
      <c r="A49" s="221" t="s">
        <v>100</v>
      </c>
      <c r="B49" s="222" t="n">
        <v>0</v>
      </c>
      <c r="C49" s="223" t="n">
        <v>0.01</v>
      </c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0.001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>    -</v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>Salix viminalis</v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>No</v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>newcod</v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 t="s">
        <v>105</v>
      </c>
      <c r="AC49" s="220"/>
      <c r="BC49" s="10" t="n">
        <f aca="false">IF(A49="","",1)</f>
        <v>1</v>
      </c>
    </row>
    <row r="50" customFormat="false" ht="12.75" hidden="false" customHeight="false" outlineLevel="0" collapsed="false">
      <c r="A50" s="221" t="s">
        <v>100</v>
      </c>
      <c r="B50" s="222" t="n">
        <v>0</v>
      </c>
      <c r="C50" s="223" t="n">
        <v>0.01</v>
      </c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0.001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>    -</v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>Alnus glutinosa</v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>No</v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>newcod</v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 t="s">
        <v>106</v>
      </c>
      <c r="AC50" s="220"/>
      <c r="BC50" s="10" t="n">
        <f aca="false">IF(A50="","",1)</f>
        <v>1</v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IF(D51="",0,VLOOKUP(D51,D$21:D50,1,0))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X51" s="232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33"/>
      <c r="M53" s="233"/>
      <c r="N53" s="233"/>
      <c r="O53" s="213" t="str">
        <f aca="false">IF(AA53="Cf.","Cf.","")</f>
        <v/>
      </c>
      <c r="P53" s="23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33"/>
      <c r="M54" s="233"/>
      <c r="N54" s="233"/>
      <c r="O54" s="213" t="str">
        <f aca="false">IF(AA54="Cf.","Cf.","")</f>
        <v/>
      </c>
      <c r="P54" s="23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X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IF(D57="",0,VLOOKUP(D57,D$22:D56,1,0))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28"/>
      <c r="M59" s="228"/>
      <c r="N59" s="228"/>
      <c r="O59" s="213" t="str">
        <f aca="false">IF(AA59="Cf.","Cf.","")</f>
        <v/>
      </c>
      <c r="P59" s="21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IF(D60="",0,VLOOKUP(D60,D$22:D53,1,0))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28"/>
      <c r="M60" s="228"/>
      <c r="N60" s="228"/>
      <c r="O60" s="213" t="str">
        <f aca="false">IF(AA60="Cf.","Cf.","")</f>
        <v/>
      </c>
      <c r="P60" s="21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IF(D61="",0,VLOOKUP(D61,D$22:D53,1,0))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IF(D62="",0,VLOOKUP(D62,D$22:D54,1,0))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107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Oignin</v>
      </c>
      <c r="B84" s="252" t="str">
        <f aca="false">C3</f>
        <v>Oignin a Samognat</v>
      </c>
      <c r="C84" s="253" t="n">
        <f aca="false">A4</f>
        <v>41085</v>
      </c>
      <c r="D84" s="254" t="n">
        <f aca="false">IF(ISERROR(SUM($T$23:$T$82)/SUM($U$23:$U$82)),"",SUM($T$23:$T$82)/SUM($U$23:$U$82))</f>
        <v>10.804347826087</v>
      </c>
      <c r="E84" s="255" t="n">
        <f aca="false">N13</f>
        <v>28</v>
      </c>
      <c r="F84" s="252" t="n">
        <f aca="false">N14</f>
        <v>14</v>
      </c>
      <c r="G84" s="252" t="n">
        <f aca="false">N15</f>
        <v>7</v>
      </c>
      <c r="H84" s="252" t="n">
        <f aca="false">N16</f>
        <v>5</v>
      </c>
      <c r="I84" s="252" t="n">
        <f aca="false">N17</f>
        <v>2</v>
      </c>
      <c r="J84" s="256" t="n">
        <f aca="false">N8</f>
        <v>10.6428571428571</v>
      </c>
      <c r="K84" s="254" t="n">
        <f aca="false">N9</f>
        <v>3.91461055843054</v>
      </c>
      <c r="L84" s="255" t="n">
        <f aca="false">N10</f>
        <v>4</v>
      </c>
      <c r="M84" s="255" t="n">
        <f aca="false">N11</f>
        <v>18</v>
      </c>
      <c r="N84" s="254" t="n">
        <f aca="false">O8</f>
        <v>1.64285714285714</v>
      </c>
      <c r="O84" s="254" t="n">
        <f aca="false">O9</f>
        <v>0.744946343668492</v>
      </c>
      <c r="P84" s="255" t="n">
        <f aca="false">O10</f>
        <v>1</v>
      </c>
      <c r="Q84" s="255" t="n">
        <f aca="false">O11</f>
        <v>3</v>
      </c>
      <c r="R84" s="255" t="n">
        <f aca="false">F21</f>
        <v>50.102</v>
      </c>
      <c r="S84" s="255" t="n">
        <f aca="false">K11</f>
        <v>0</v>
      </c>
      <c r="T84" s="255" t="n">
        <f aca="false">K12</f>
        <v>4</v>
      </c>
      <c r="U84" s="255" t="n">
        <f aca="false">K13</f>
        <v>8</v>
      </c>
      <c r="V84" s="257" t="n">
        <f aca="false">K14</f>
        <v>0</v>
      </c>
      <c r="W84" s="258" t="n">
        <f aca="false">K15</f>
        <v>10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108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109</v>
      </c>
      <c r="R87" s="10"/>
      <c r="S87" s="216" t="n">
        <f aca="false">VLOOKUP(MAX($S$23:$S$82),($S$23:$U$82),1,0)</f>
        <v>52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110</v>
      </c>
      <c r="R88" s="10"/>
      <c r="S88" s="216" t="n">
        <f aca="false">VLOOKUP((S87),($S$23:$U$82),2,0)</f>
        <v>156</v>
      </c>
      <c r="T88" s="10"/>
      <c r="U88" s="10"/>
      <c r="V88" s="10"/>
    </row>
    <row r="89" customFormat="false" ht="12.75" hidden="false" customHeight="false" outlineLevel="0" collapsed="false">
      <c r="Q89" s="10" t="s">
        <v>111</v>
      </c>
      <c r="R89" s="10"/>
      <c r="S89" s="216" t="n">
        <f aca="false">VLOOKUP((S87),($S$23:$U$82),3,0)</f>
        <v>12</v>
      </c>
      <c r="T89" s="10"/>
    </row>
    <row r="90" customFormat="false" ht="12.75" hidden="false" customHeight="false" outlineLevel="0" collapsed="false">
      <c r="Q90" s="10" t="s">
        <v>112</v>
      </c>
      <c r="R90" s="10"/>
      <c r="S90" s="261" t="n">
        <f aca="false">IF(ISERROR(SUM($T$23:$T$82)/SUM($U$23:$U$82)),"",(SUM($T$23:$T$82)-S88)/(SUM($U$23:$U$82)-S89))</f>
        <v>10.0294117647059</v>
      </c>
      <c r="T90" s="10"/>
    </row>
    <row r="91" customFormat="false" ht="12.75" hidden="false" customHeight="false" outlineLevel="0" collapsed="false">
      <c r="Q91" s="215" t="s">
        <v>113</v>
      </c>
      <c r="R91" s="215"/>
      <c r="S91" s="215" t="str">
        <f aca="false">INDEX('[1]liste reference'!$A$7:$A$892,$T$91)</f>
        <v>CINDAN</v>
      </c>
      <c r="T91" s="10" t="n">
        <f aca="false">IF(ISERROR(MATCH($S$93,'[1]liste reference'!$A$7:$A$892,0)),MATCH($S$93,'[1]liste reference'!$B$7:$B$892,0),(MATCH($S$93,'[1]liste reference'!$A$7:$A$892,0)))</f>
        <v>174</v>
      </c>
      <c r="U91" s="250"/>
    </row>
    <row r="92" customFormat="false" ht="12.75" hidden="false" customHeight="false" outlineLevel="0" collapsed="false">
      <c r="Q92" s="10" t="s">
        <v>114</v>
      </c>
      <c r="R92" s="10"/>
      <c r="S92" s="10" t="n">
        <f aca="false">MATCH(S87,$S$23:$S$82,0)</f>
        <v>10</v>
      </c>
      <c r="T92" s="10"/>
    </row>
    <row r="93" customFormat="false" ht="12.75" hidden="false" customHeight="false" outlineLevel="0" collapsed="false">
      <c r="Q93" s="215" t="s">
        <v>115</v>
      </c>
      <c r="R93" s="10"/>
      <c r="S93" s="215" t="str">
        <f aca="false">INDEX($A$23:$A$82,$S$92)</f>
        <v>CINDAN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44 A51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45:A50">
    <cfRule type="expression" priority="28" aboveAverage="0" equalAverage="0" bottom="0" percent="0" rank="0" text="" dxfId="26">
      <formula>ISTEXT($E45)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2014-03-28T16:56:05Z</dcterms:created>
  <dc:creator>Laurent Bourgoin</dc:creator>
  <dc:description/>
  <dc:language>fr-FR</dc:language>
  <cp:lastModifiedBy>Laurent Bourgoin</cp:lastModifiedBy>
  <dcterms:modified xsi:type="dcterms:W3CDTF">2014-03-28T16:56:59Z</dcterms:modified>
  <cp:revision>0</cp:revision>
  <dc:subject/>
  <dc:title/>
</cp:coreProperties>
</file>