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1</xdr:row>
                <xdr:rowOff>7</xdr:rowOff>
              </xdr:from>
              <xdr:to>
                <xdr:col>9</xdr:col>
                <xdr:colOff>12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<sst xmlns="http://schemas.openxmlformats.org/spreadsheetml/2006/main" count="104" uniqueCount="99">
  <si>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</si>
  <si>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</si>
  <si>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</si>
  <si>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CBERNARD PVAUDAUX</t>
  </si>
  <si>
    <t xml:space="preserve">conforme AFNOR T90-395 oct. 2003</t>
  </si>
  <si>
    <t xml:space="preserve">BAUME</t>
  </si>
  <si>
    <t xml:space="preserve">Baume a Rosieres</t>
  </si>
  <si>
    <t xml:space="preserve">06580238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</si>
  <si>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</si>
  <si>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</si>
  <si>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</si>
  <si>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</si>
  <si>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</si>
  <si>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</si>
  <si>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</si>
  <si>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</si>
  <si>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</si>
  <si>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</si>
  <si>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</si>
  <si>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PL LENTIQUE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</si>
  <si>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</si>
  <si>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</si>
  <si>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</si>
  <si>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</si>
  <si>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</si>
  <si>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</si>
  <si>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</si>
  <si>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</si>
  <si>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</si>
  <si>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</si>
  <si>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</si>
  <si>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</si>
  <si>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</si>
  <si>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</si>
  <si>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</si>
  <si>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</si>
  <si>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</si>
  <si>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</si>
  <si>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</si>
  <si>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</si>
  <si>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</si>
  <si>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</si>
  <si>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</si>
  <si>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</si>
  <si>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</si>
  <si>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</si>
  <si>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</si>
  <si>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</si>
  <si>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</si>
  <si>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</si>
  <si>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</si>
  <si>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</si>
  <si>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</si>
  <si>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</si>
  <si>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</si>
  <si>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</si>
  <si>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</si>
  <si>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</si>
  <si>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</si>
  <si>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</si>
  <si>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</si>
  <si>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</si>
  <si>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</si>
  <si>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</si>
  <si>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</si>
  <si>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</si>
  <si>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</si>
  <si>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</si>
  <si>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</si>
  <si>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</si>
  <si>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</si>
  <si>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</si>
  <si>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</si>
  <si>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</si>
  <si>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</si>
  <si>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</si>
  <si>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</si>
  <si>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</si>
  <si>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DIASPX</t>
  </si>
  <si>
    <t xml:space="preserve">LYNSPX</t>
  </si>
  <si>
    <t xml:space="preserve">OEDSPX</t>
  </si>
  <si>
    <t xml:space="preserve">SPISPX</t>
  </si>
  <si>
    <t xml:space="preserve">STISPX</t>
  </si>
  <si>
    <t xml:space="preserve">ULOSPX</t>
  </si>
  <si>
    <t xml:space="preserve">FONANT</t>
  </si>
  <si>
    <t xml:space="preserve">RHYRIP</t>
  </si>
  <si>
    <t xml:space="preserve">GLYFLU</t>
  </si>
  <si>
    <t xml:space="preserve">MENAQU</t>
  </si>
  <si>
    <t xml:space="preserve">newcod</t>
  </si>
  <si>
    <t xml:space="preserve">Hydroccocus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</si>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</sst>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BAURO_11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Récap."/><sheetName val="Macro1"/><sheetName val="notice"/><sheetName val="liste reference"/><sheetName val="modele"/><sheetName val="liste codes réf"/></sheetNames><sheetDataSet><sheetData sheetId="0"></sheetData><sheetData sheetId="1"></sheetData><sheetData sheetId="2"></sheetData><sheetData sheetId="3"></sheetData><sheetData sheetId="4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41801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10.72</v>
      </c>
      <c r="M5" s="53"/>
      <c r="N5" s="54" t="s">
        <v>16</v>
      </c>
      <c r="O5" s="55" t="n">
        <v>9.90476190476191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40</v>
      </c>
      <c r="C7" s="67" t="n">
        <v>60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11.2727272727273</v>
      </c>
      <c r="O8" s="84" t="n">
        <f aca="false">IF(ISERROR(AVERAGE(J23:J82)),"      -",AVERAGE(J23:J82))</f>
        <v>1.54545454545455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7.21</v>
      </c>
      <c r="C9" s="87" t="n">
        <v>20.19</v>
      </c>
      <c r="D9" s="88"/>
      <c r="E9" s="88"/>
      <c r="F9" s="89" t="n">
        <f aca="false">($B9*$B$7+$C9*$C$7)/100</f>
        <v>14.998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2.33903278732157</v>
      </c>
      <c r="O9" s="84" t="n">
        <f aca="false">IF(ISERROR(STDEVP(J23:J82)),"      -",STDEVP(J23:J82))</f>
        <v>0.497929597731969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8" t="s">
        <v>32</v>
      </c>
      <c r="D10" s="99"/>
      <c r="E10" s="99"/>
      <c r="F10" s="89"/>
      <c r="G10" s="90"/>
      <c r="H10" s="100"/>
      <c r="I10" s="101"/>
      <c r="J10" s="102" t="s">
        <v>33</v>
      </c>
      <c r="K10" s="102"/>
      <c r="L10" s="103"/>
      <c r="M10" s="104" t="s">
        <v>34</v>
      </c>
      <c r="N10" s="105" t="n">
        <f aca="false">MIN(I23:I82)</f>
        <v>6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35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36</v>
      </c>
      <c r="J11" s="113"/>
      <c r="K11" s="114" t="n">
        <f aca="false">COUNTIF($G$23:$G$82,"=HET")</f>
        <v>0</v>
      </c>
      <c r="L11" s="115"/>
      <c r="M11" s="104" t="s">
        <v>37</v>
      </c>
      <c r="N11" s="105" t="n">
        <f aca="false">MAX(I23:I82)</f>
        <v>15</v>
      </c>
      <c r="O11" s="105" t="n">
        <f aca="false">MAX(J23:J82)</f>
        <v>2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38</v>
      </c>
      <c r="B12" s="117" t="n">
        <v>7.21</v>
      </c>
      <c r="C12" s="118" t="n">
        <v>20.06</v>
      </c>
      <c r="D12" s="110"/>
      <c r="E12" s="110"/>
      <c r="F12" s="111" t="n">
        <f aca="false">($B12*$B$7+$C12*$C$7)/100</f>
        <v>14.92</v>
      </c>
      <c r="G12" s="119"/>
      <c r="H12" s="68"/>
      <c r="I12" s="120" t="s">
        <v>39</v>
      </c>
      <c r="J12" s="120"/>
      <c r="K12" s="114" t="n">
        <f aca="false">COUNTIF($G$23:$G$82,"=ALG")</f>
        <v>7</v>
      </c>
      <c r="L12" s="121"/>
      <c r="M12" s="122"/>
      <c r="N12" s="123" t="s">
        <v>33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40</v>
      </c>
      <c r="B13" s="117"/>
      <c r="C13" s="118" t="n">
        <v>0.02</v>
      </c>
      <c r="D13" s="110"/>
      <c r="E13" s="110"/>
      <c r="F13" s="111" t="n">
        <f aca="false">($B13*$B$7+$C13*$C$7)/100</f>
        <v>0.012</v>
      </c>
      <c r="G13" s="119"/>
      <c r="H13" s="68"/>
      <c r="I13" s="120" t="s">
        <v>41</v>
      </c>
      <c r="J13" s="120"/>
      <c r="K13" s="114" t="n">
        <f aca="false">COUNTIF($G$23:$G$82,"=BRm")+COUNTIF($G$23:$G$82,"=BRh")</f>
        <v>2</v>
      </c>
      <c r="L13" s="115"/>
      <c r="M13" s="126" t="s">
        <v>42</v>
      </c>
      <c r="N13" s="127" t="n">
        <f aca="false">COUNTIF(F23:F82,"&gt;0")</f>
        <v>12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43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44</v>
      </c>
      <c r="J14" s="120"/>
      <c r="K14" s="114" t="n">
        <f aca="false">COUNTIF($G$23:$G$82,"=PTE")+COUNTIF($G$23:$G$82,"=LIC")</f>
        <v>0</v>
      </c>
      <c r="L14" s="115"/>
      <c r="M14" s="130" t="s">
        <v>45</v>
      </c>
      <c r="N14" s="131" t="n">
        <f aca="false">COUNTIF($I$23:$I$82,"&gt;-1")</f>
        <v>11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46</v>
      </c>
      <c r="B15" s="134"/>
      <c r="C15" s="135" t="n">
        <v>0.11</v>
      </c>
      <c r="D15" s="110"/>
      <c r="E15" s="110"/>
      <c r="F15" s="111" t="n">
        <f aca="false">($B15*$B$7+$C15*$C$7)/100</f>
        <v>0.066</v>
      </c>
      <c r="G15" s="119"/>
      <c r="H15" s="68"/>
      <c r="I15" s="120" t="s">
        <v>47</v>
      </c>
      <c r="J15" s="120"/>
      <c r="K15" s="114" t="n">
        <f aca="false">(COUNTIF($G$23:$G$82,"=PHy"))+(COUNTIF($G$23:$G$82,"=PHe"))+(COUNTIF($G$23:$G$82,"=PHg"))+(COUNTIF($G$23:$G$82,"=PHx"))</f>
        <v>2</v>
      </c>
      <c r="L15" s="115"/>
      <c r="M15" s="136" t="s">
        <v>48</v>
      </c>
      <c r="N15" s="137" t="n">
        <f aca="false">COUNTIF(J23:J82,"=1")</f>
        <v>5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49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50</v>
      </c>
      <c r="N16" s="137" t="n">
        <f aca="false">COUNTIF(J23:J82,"=2")</f>
        <v>6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51</v>
      </c>
      <c r="B17" s="117" t="n">
        <v>7.21</v>
      </c>
      <c r="C17" s="118" t="n">
        <v>20.08</v>
      </c>
      <c r="D17" s="110"/>
      <c r="E17" s="110"/>
      <c r="F17" s="142"/>
      <c r="G17" s="111" t="n">
        <f aca="false">($B17*$B$7+$C17*$C$7)/100</f>
        <v>14.932</v>
      </c>
      <c r="H17" s="68"/>
      <c r="I17" s="120"/>
      <c r="J17" s="120"/>
      <c r="K17" s="141"/>
      <c r="L17" s="115"/>
      <c r="M17" s="136" t="s">
        <v>52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53</v>
      </c>
      <c r="B18" s="144"/>
      <c r="C18" s="145" t="n">
        <v>0.11</v>
      </c>
      <c r="D18" s="110"/>
      <c r="E18" s="146" t="s">
        <v>54</v>
      </c>
      <c r="F18" s="142"/>
      <c r="G18" s="111" t="n">
        <f aca="false">($B18*$B$7+$C18*$C$7)/100</f>
        <v>0.066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14.998</v>
      </c>
      <c r="G19" s="155" t="n">
        <f aca="false">SUM(G16:G18)</f>
        <v>14.998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7.19</v>
      </c>
      <c r="C20" s="165" t="n">
        <f aca="false">SUM(C23:C82)</f>
        <v>20.19</v>
      </c>
      <c r="D20" s="166"/>
      <c r="E20" s="167" t="s">
        <v>54</v>
      </c>
      <c r="F20" s="168" t="n">
        <f aca="false">($B20*$B$7+$C20*$C$7)/100</f>
        <v>14.99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2.876</v>
      </c>
      <c r="C21" s="178" t="n">
        <f aca="false">C20*C7/100</f>
        <v>12.114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14.99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0.01</v>
      </c>
      <c r="C23" s="205" t="n">
        <v>0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Diatoma sp.</v>
      </c>
      <c r="E23" s="206" t="e">
        <f aca="false">IF(D23="",0,VLOOKUP(D23,D$22:D22,1,0))</f>
        <v>#N/A</v>
      </c>
      <c r="F23" s="207" t="n">
        <f aca="false">($B23*$B$7+$C23*$C$7)/100</f>
        <v>0.004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12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Diatoma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6627</v>
      </c>
      <c r="Q23" s="215" t="n">
        <f aca="false">IF(ISTEXT(H23),"",(B23*$B$7/100)+(C23*$C$7/100))</f>
        <v>0.004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12</v>
      </c>
      <c r="T23" s="216" t="n">
        <f aca="false">IF(ISERROR(R23*I23*J23),0,R23*I23*J23)</f>
        <v>24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DIASPX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26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16</v>
      </c>
      <c r="B24" s="223" t="n">
        <v>1.8</v>
      </c>
      <c r="C24" s="224" t="n">
        <v>0.01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Lemanea sp.</v>
      </c>
      <c r="E24" s="225" t="e">
        <f aca="false">IF(D24="",0,VLOOKUP(D24,D$22:D23,1,0))</f>
        <v>#N/A</v>
      </c>
      <c r="F24" s="226" t="n">
        <f aca="false">($B24*$B$7+$C24*$C$7)/100</f>
        <v>0.726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15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Lemanea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1159</v>
      </c>
      <c r="Q24" s="215" t="n">
        <f aca="false">IF(ISTEXT(H24),"",(B24*$B$7/100)+(C24*$C$7/100))</f>
        <v>0.726</v>
      </c>
      <c r="R24" s="216" t="n">
        <f aca="false">IF(OR(ISTEXT(H24),Q24=0),"",IF(Q24&lt;0.1,1,IF(Q24&lt;1,2,IF(Q24&lt;10,3,IF(Q24&lt;50,4,IF(Q24&gt;=50,5,""))))))</f>
        <v>2</v>
      </c>
      <c r="S24" s="216" t="n">
        <f aca="false">IF(ISERROR(R24*I24),0,R24*I24)</f>
        <v>30</v>
      </c>
      <c r="T24" s="216" t="n">
        <f aca="false">IF(ISERROR(R24*I24*J24),0,R24*I24*J24)</f>
        <v>60</v>
      </c>
      <c r="U24" s="228" t="n">
        <f aca="false">IF(ISERROR(R24*J24),0,R24*J24)</f>
        <v>4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LEASPX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34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79</v>
      </c>
      <c r="B25" s="223" t="n">
        <v>0.01</v>
      </c>
      <c r="C25" s="224" t="n">
        <v>0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Lyngbya sp.</v>
      </c>
      <c r="E25" s="225" t="e">
        <f aca="false">IF(D25="",0,VLOOKUP(D25,D$22:D24,1,0))</f>
        <v>#N/A</v>
      </c>
      <c r="F25" s="226" t="n">
        <f aca="false">($B25*$B$7+$C25*$C$7)/100</f>
        <v>0.004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10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Lyngbya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1107</v>
      </c>
      <c r="Q25" s="215" t="n">
        <f aca="false">IF(ISTEXT(H25),"",(B25*$B$7/100)+(C25*$C$7/100))</f>
        <v>0.004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10</v>
      </c>
      <c r="T25" s="216" t="n">
        <f aca="false">IF(ISERROR(R25*I25*J25),0,R25*I25*J25)</f>
        <v>20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LYNSPX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35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80</v>
      </c>
      <c r="B26" s="223" t="n">
        <v>1.52</v>
      </c>
      <c r="C26" s="224" t="n">
        <v>6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Oedogonium sp.</v>
      </c>
      <c r="E26" s="225" t="e">
        <f aca="false">IF(D26="",0,VLOOKUP(D26,D$22:D25,1,0))</f>
        <v>#N/A</v>
      </c>
      <c r="F26" s="226" t="n">
        <f aca="false">($B26*$B$7+$C26*$C$7)/100</f>
        <v>4.208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6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Oedogonium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1134</v>
      </c>
      <c r="Q26" s="215" t="n">
        <f aca="false">IF(ISTEXT(H26),"",(B26*$B$7/100)+(C26*$C$7/100))</f>
        <v>4.208</v>
      </c>
      <c r="R26" s="216" t="n">
        <f aca="false">IF(OR(ISTEXT(H26),Q26=0),"",IF(Q26&lt;0.1,1,IF(Q26&lt;1,2,IF(Q26&lt;10,3,IF(Q26&lt;50,4,IF(Q26&gt;=50,5,""))))))</f>
        <v>3</v>
      </c>
      <c r="S26" s="216" t="n">
        <f aca="false">IF(ISERROR(R26*I26),0,R26*I26)</f>
        <v>18</v>
      </c>
      <c r="T26" s="216" t="n">
        <f aca="false">IF(ISERROR(R26*I26*J26),0,R26*I26*J26)</f>
        <v>36</v>
      </c>
      <c r="U26" s="228" t="n">
        <f aca="false">IF(ISERROR(R26*J26),0,R26*J26)</f>
        <v>6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OEDSPX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55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81</v>
      </c>
      <c r="B27" s="223" t="n">
        <v>3.52</v>
      </c>
      <c r="C27" s="224" t="n">
        <v>14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Spirogyra sp.</v>
      </c>
      <c r="E27" s="225" t="e">
        <f aca="false">IF(D27="",0,VLOOKUP(D27,D$22:D26,1,0))</f>
        <v>#N/A</v>
      </c>
      <c r="F27" s="226" t="n">
        <f aca="false">($B27*$B$7+$C27*$C$7)/100</f>
        <v>9.808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ALG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2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10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Spirogyra sp.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1147</v>
      </c>
      <c r="Q27" s="215" t="n">
        <f aca="false">IF(ISTEXT(H27),"",(B27*$B$7/100)+(C27*$C$7/100))</f>
        <v>9.808</v>
      </c>
      <c r="R27" s="216" t="n">
        <f aca="false">IF(OR(ISTEXT(H27),Q27=0),"",IF(Q27&lt;0.1,1,IF(Q27&lt;1,2,IF(Q27&lt;10,3,IF(Q27&lt;50,4,IF(Q27&gt;=50,5,""))))))</f>
        <v>3</v>
      </c>
      <c r="S27" s="216" t="n">
        <f aca="false">IF(ISERROR(R27*I27),0,R27*I27)</f>
        <v>30</v>
      </c>
      <c r="T27" s="216" t="n">
        <f aca="false">IF(ISERROR(R27*I27*J27),0,R27*I27*J27)</f>
        <v>30</v>
      </c>
      <c r="U27" s="228" t="n">
        <f aca="false">IF(ISERROR(R27*J27),0,R27*J27)</f>
        <v>3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SPISPX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69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82</v>
      </c>
      <c r="B28" s="223" t="n">
        <v>0.22</v>
      </c>
      <c r="C28" s="224" t="n">
        <v>0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Stigeoclonium sp.</v>
      </c>
      <c r="E28" s="225" t="e">
        <f aca="false">IF(D28="",0,VLOOKUP(D28,D$22:D27,1,0))</f>
        <v>#N/A</v>
      </c>
      <c r="F28" s="226" t="n">
        <f aca="false">($B28*$B$7+$C28*$C$7)/100</f>
        <v>0.088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ALG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2</v>
      </c>
      <c r="I28" s="210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13</v>
      </c>
      <c r="J28" s="210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2</v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Stigeoclonium sp.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1119</v>
      </c>
      <c r="Q28" s="215" t="n">
        <f aca="false">IF(ISTEXT(H28),"",(B28*$B$7/100)+(C28*$C$7/100))</f>
        <v>0.088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13</v>
      </c>
      <c r="T28" s="216" t="n">
        <f aca="false">IF(ISERROR(R28*I28*J28),0,R28*I28*J28)</f>
        <v>26</v>
      </c>
      <c r="U28" s="228" t="n">
        <f aca="false">IF(ISERROR(R28*J28),0,R28*J28)</f>
        <v>2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STISPX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71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83</v>
      </c>
      <c r="B29" s="223" t="n">
        <v>0.01</v>
      </c>
      <c r="C29" s="224" t="n">
        <v>0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Ulothrix sp.</v>
      </c>
      <c r="E29" s="225" t="e">
        <f aca="false">IF(D29="",0,VLOOKUP(D29,D$22:D28,1,0))</f>
        <v>#N/A</v>
      </c>
      <c r="F29" s="226" t="n">
        <f aca="false">($B29*$B$7+$C29*$C$7)/100</f>
        <v>0.004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ALG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2</v>
      </c>
      <c r="I29" s="210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10</v>
      </c>
      <c r="J29" s="210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Ulothrix sp.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1142</v>
      </c>
      <c r="Q29" s="215" t="n">
        <f aca="false">IF(ISTEXT(H29),"",(B29*$B$7/100)+(C29*$C$7/100))</f>
        <v>0.004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10</v>
      </c>
      <c r="T29" s="216" t="n">
        <f aca="false">IF(ISERROR(R29*I29*J29),0,R29*I29*J29)</f>
        <v>10</v>
      </c>
      <c r="U29" s="228" t="n">
        <f aca="false">IF(ISERROR(R29*J29),0,R29*J29)</f>
        <v>1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>ULOSPX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81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84</v>
      </c>
      <c r="B30" s="223" t="n">
        <v>0</v>
      </c>
      <c r="C30" s="224" t="n">
        <v>0.01</v>
      </c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Fontinalis antipyretica</v>
      </c>
      <c r="E30" s="225" t="e">
        <f aca="false">IF(D30="",0,VLOOKUP(D30,D$22:D29,1,0))</f>
        <v>#N/A</v>
      </c>
      <c r="F30" s="226" t="n">
        <f aca="false">($B30*$B$7+$C30*$C$7)/100</f>
        <v>0.006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09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10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10</v>
      </c>
      <c r="J30" s="210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1</v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Fontinalis antipyretica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1310</v>
      </c>
      <c r="Q30" s="215" t="n">
        <f aca="false">IF(ISTEXT(H30),"",(B30*$B$7/100)+(C30*$C$7/100))</f>
        <v>0.006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10</v>
      </c>
      <c r="T30" s="216" t="n">
        <f aca="false">IF(ISERROR(R30*I30*J30),0,R30*I30*J30)</f>
        <v>10</v>
      </c>
      <c r="U30" s="228" t="n">
        <f aca="false">IF(ISERROR(R30*J30),0,R30*J30)</f>
        <v>1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>FONANT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210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85</v>
      </c>
      <c r="B31" s="223" t="n">
        <v>0</v>
      </c>
      <c r="C31" s="224" t="n">
        <v>0.01</v>
      </c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Rhynchostegium riparioides</v>
      </c>
      <c r="E31" s="225" t="e">
        <f aca="false">IF(D31="",0,VLOOKUP(D31,D$22:D30,1,0))</f>
        <v>#N/A</v>
      </c>
      <c r="F31" s="226" t="n">
        <f aca="false">($B31*$B$7+$C31*$C$7)/100</f>
        <v>0.006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BRm</v>
      </c>
      <c r="H31" s="209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5</v>
      </c>
      <c r="I31" s="210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12</v>
      </c>
      <c r="J31" s="210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1</v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Rhynchostegium riparioides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1268</v>
      </c>
      <c r="Q31" s="215" t="n">
        <f aca="false">IF(ISTEXT(H31),"",(B31*$B$7/100)+(C31*$C$7/100))</f>
        <v>0.006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12</v>
      </c>
      <c r="T31" s="216" t="n">
        <f aca="false">IF(ISERROR(R31*I31*J31),0,R31*I31*J31)</f>
        <v>12</v>
      </c>
      <c r="U31" s="228" t="n">
        <f aca="false">IF(ISERROR(R31*J31),0,R31*J31)</f>
        <v>1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>RHYRIP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252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86</v>
      </c>
      <c r="B32" s="223" t="n">
        <v>0</v>
      </c>
      <c r="C32" s="224" t="n">
        <v>0.1</v>
      </c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>Glyceria fluitans</v>
      </c>
      <c r="E32" s="225" t="e">
        <f aca="false">IF(D32="",0,VLOOKUP(D32,D$22:D31,1,0))</f>
        <v>#N/A</v>
      </c>
      <c r="F32" s="226" t="n">
        <f aca="false">($B32*$B$7+$C32*$C$7)/100</f>
        <v>0.06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PHe</v>
      </c>
      <c r="H32" s="209" t="n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8</v>
      </c>
      <c r="I32" s="210" t="n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>14</v>
      </c>
      <c r="J32" s="210" t="n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>2</v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Glyceria fluitans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1564</v>
      </c>
      <c r="Q32" s="215" t="n">
        <f aca="false">IF(ISTEXT(H32),"",(B32*$B$7/100)+(C32*$C$7/100))</f>
        <v>0.06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14</v>
      </c>
      <c r="T32" s="216" t="n">
        <f aca="false">IF(ISERROR(R32*I32*J32),0,R32*I32*J32)</f>
        <v>28</v>
      </c>
      <c r="U32" s="228" t="n">
        <f aca="false">IF(ISERROR(R32*J32),0,R32*J32)</f>
        <v>2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>GLYFLU</v>
      </c>
      <c r="Z32" s="10" t="n">
        <f aca="false">IF(ISERROR(MATCH(A32,'[2]liste reference'!$A$8:$A$904,0)),IF(ISERROR(MATCH(A32,'[2]liste reference'!$B$8:$B$904,0)),"",(MATCH(A32,'[2]liste reference'!$B$8:$B$904,0))),(MATCH(A32,'[2]liste reference'!$A$8:$A$904,0)))</f>
        <v>575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 t="s">
        <v>87</v>
      </c>
      <c r="B33" s="223" t="n">
        <v>0</v>
      </c>
      <c r="C33" s="224" t="n">
        <v>0.01</v>
      </c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>Mentha aquatica</v>
      </c>
      <c r="E33" s="225" t="e">
        <f aca="false">IF(D33="",0,VLOOKUP(D33,D$22:D32,1,0))</f>
        <v>#N/A</v>
      </c>
      <c r="F33" s="226" t="n">
        <f aca="false">($B33*$B$7+$C33*$C$7)/100</f>
        <v>0.006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>PHe</v>
      </c>
      <c r="H33" s="209" t="n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8</v>
      </c>
      <c r="I33" s="210" t="n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>12</v>
      </c>
      <c r="J33" s="210" t="n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>1</v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>Mentha aquatica</v>
      </c>
      <c r="L33" s="227"/>
      <c r="M33" s="227"/>
      <c r="N33" s="227"/>
      <c r="O33" s="213"/>
      <c r="P33" s="214" t="n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>1791</v>
      </c>
      <c r="Q33" s="215" t="n">
        <f aca="false">IF(ISTEXT(H33),"",(B33*$B$7/100)+(C33*$C$7/100))</f>
        <v>0.006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12</v>
      </c>
      <c r="T33" s="216" t="n">
        <f aca="false">IF(ISERROR(R33*I33*J33),0,R33*I33*J33)</f>
        <v>12</v>
      </c>
      <c r="U33" s="228" t="n">
        <f aca="false">IF(ISERROR(R33*J33),0,R33*J33)</f>
        <v>1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>MENAQU</v>
      </c>
      <c r="Z33" s="10" t="n">
        <f aca="false">IF(ISERROR(MATCH(A33,'[2]liste reference'!$A$8:$A$904,0)),IF(ISERROR(MATCH(A33,'[2]liste reference'!$B$8:$B$904,0)),"",(MATCH(A33,'[2]liste reference'!$B$8:$B$904,0))),(MATCH(A33,'[2]liste reference'!$A$8:$A$904,0)))</f>
        <v>607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22" t="s">
        <v>88</v>
      </c>
      <c r="B34" s="223" t="n">
        <v>0.1</v>
      </c>
      <c r="C34" s="224" t="n">
        <v>0.05</v>
      </c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0.07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>    -</v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>Hydroccocus sp.</v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>No</v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>newcod</v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 t="s">
        <v>89</v>
      </c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90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BAUME</v>
      </c>
      <c r="B84" s="258" t="str">
        <f aca="false">C3</f>
        <v>Baume a Rosieres</v>
      </c>
      <c r="C84" s="259" t="n">
        <f aca="false">A4</f>
        <v>41801</v>
      </c>
      <c r="D84" s="260" t="n">
        <f aca="false">IF(ISERROR(SUM($T$23:$T$82)/SUM($U$23:$U$82)),"",SUM($T$23:$T$82)/SUM($U$23:$U$82))</f>
        <v>10.72</v>
      </c>
      <c r="E84" s="261" t="n">
        <f aca="false">N13</f>
        <v>12</v>
      </c>
      <c r="F84" s="258" t="n">
        <f aca="false">N14</f>
        <v>11</v>
      </c>
      <c r="G84" s="258" t="n">
        <f aca="false">N15</f>
        <v>5</v>
      </c>
      <c r="H84" s="258" t="n">
        <f aca="false">N16</f>
        <v>6</v>
      </c>
      <c r="I84" s="258" t="n">
        <f aca="false">N17</f>
        <v>0</v>
      </c>
      <c r="J84" s="262" t="n">
        <f aca="false">N8</f>
        <v>11.2727272727273</v>
      </c>
      <c r="K84" s="260" t="n">
        <f aca="false">N9</f>
        <v>2.33903278732157</v>
      </c>
      <c r="L84" s="261" t="n">
        <f aca="false">N10</f>
        <v>6</v>
      </c>
      <c r="M84" s="261" t="n">
        <f aca="false">N11</f>
        <v>15</v>
      </c>
      <c r="N84" s="260" t="n">
        <f aca="false">O8</f>
        <v>1.54545454545455</v>
      </c>
      <c r="O84" s="260" t="n">
        <f aca="false">O9</f>
        <v>0.497929597731969</v>
      </c>
      <c r="P84" s="261" t="n">
        <f aca="false">O10</f>
        <v>1</v>
      </c>
      <c r="Q84" s="261" t="n">
        <f aca="false">O11</f>
        <v>2</v>
      </c>
      <c r="R84" s="261" t="n">
        <f aca="false">F21</f>
        <v>14.99</v>
      </c>
      <c r="S84" s="261" t="n">
        <f aca="false">K11</f>
        <v>0</v>
      </c>
      <c r="T84" s="261" t="n">
        <f aca="false">K12</f>
        <v>7</v>
      </c>
      <c r="U84" s="261" t="n">
        <f aca="false">K13</f>
        <v>2</v>
      </c>
      <c r="V84" s="263" t="n">
        <f aca="false">K14</f>
        <v>0</v>
      </c>
      <c r="W84" s="264" t="n">
        <f aca="false">K15</f>
        <v>2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91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92</v>
      </c>
      <c r="R87" s="10"/>
      <c r="S87" s="217" t="n">
        <f aca="false">VLOOKUP(MAX($S$23:$S$82),($S$23:$U$82),1,0)</f>
        <v>30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93</v>
      </c>
      <c r="R88" s="10"/>
      <c r="S88" s="217" t="n">
        <f aca="false">VLOOKUP((S87),($S$23:$U$82),2,0)</f>
        <v>60</v>
      </c>
      <c r="T88" s="10"/>
      <c r="U88" s="10"/>
      <c r="V88" s="10"/>
    </row>
    <row r="89" customFormat="false" ht="12.75" hidden="true" customHeight="false" outlineLevel="0" collapsed="false">
      <c r="Q89" s="10" t="s">
        <v>94</v>
      </c>
      <c r="R89" s="10"/>
      <c r="S89" s="217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95</v>
      </c>
      <c r="R90" s="10"/>
      <c r="S90" s="267" t="n">
        <f aca="false">IF(ISERROR(SUM($T$23:$T$82)/SUM($U$23:$U$82)),"",(SUM($T$23:$T$82)-S88)/(SUM($U$23:$U$82)-S89))</f>
        <v>9.90476190476191</v>
      </c>
      <c r="T90" s="10"/>
    </row>
    <row r="91" customFormat="false" ht="12.75" hidden="false" customHeight="false" outlineLevel="0" collapsed="false">
      <c r="Q91" s="216" t="s">
        <v>96</v>
      </c>
      <c r="R91" s="216"/>
      <c r="S91" s="216" t="str">
        <f aca="false">INDEX('[2]liste reference'!$A$8:$A$904,$T$91)</f>
        <v>LEASPX</v>
      </c>
      <c r="T91" s="10" t="n">
        <f aca="false">IF(ISERROR(MATCH($S$93,'[2]liste reference'!$A$8:$A$904,0)),MATCH($S$93,'[2]liste reference'!$B$8:$B$904,0),(MATCH($S$93,'[2]liste reference'!$A$8:$A$904,0)))</f>
        <v>34</v>
      </c>
      <c r="U91" s="256"/>
    </row>
    <row r="92" customFormat="false" ht="12.75" hidden="false" customHeight="false" outlineLevel="0" collapsed="false">
      <c r="Q92" s="10" t="s">
        <v>97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6" t="s">
        <v>98</v>
      </c>
      <c r="R93" s="10"/>
      <c r="S93" s="216" t="str">
        <f aca="false">INDEX($A$23:$A$82,$S$92)</f>
        <v>LEASPX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2015-03-17T18:19:19Z</dcterms:created>
  <dc:creator>Laurent Bourgoin</dc:creator>
  <dc:description/>
  <dc:language>fr-FR</dc:language>
  <cp:lastModifiedBy>Laurent Bourgoin</cp:lastModifiedBy>
  <dcterms:modified xsi:type="dcterms:W3CDTF">2015-03-17T18:19:25Z</dcterms:modified>
  <cp:revision>0</cp:revision>
  <dc:subject/>
  <dc:title/>
</cp:coreProperties>
</file>