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<sst xmlns="http://schemas.openxmlformats.org/spreadsheetml/2006/main" count="166" uniqueCount="100">
  <si>
    <t xml:space="preserve">Relevés floristiques aquatiques - IBMR</t>
  </si>
  <si>
    <t xml:space="preserve">modèle Irstea-GIS</t>
  </si>
  <si>
    <t xml:space="preserve">SAGE</t>
  </si>
  <si>
    <t xml:space="preserve">LBOURGOIN CBERNARD</t>
  </si>
  <si>
    <t xml:space="preserve">ROUBION</t>
  </si>
  <si>
    <t xml:space="preserve">ROUBION A MONTELIMAR</t>
  </si>
  <si>
    <t xml:space="preserve">06580316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</si>
  <si>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</si>
  <si>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</si>
  <si>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</si>
  <si>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</si>
  <si>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</si>
  <si>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</si>
  <si>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</si>
  <si>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</si>
  <si>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</si>
  <si>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</si>
  <si>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</si>
  <si>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</si>
  <si>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</si>
  <si>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</si>
  <si>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</si>
  <si>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</si>
  <si>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</si>
  <si>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</si>
  <si>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</si>
  <si>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</si>
  <si>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</si>
  <si>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</si>
  <si>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</si>
  <si>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</si>
  <si>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</si>
  <si>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</si>
  <si>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</si>
  <si>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</si>
  <si>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</si>
  <si>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</si>
  <si>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</si>
  <si>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</si>
  <si>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</si>
  <si>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</si>
  <si>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</si>
  <si>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</si>
  <si>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</si>
  <si>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</si>
  <si>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</si>
  <si>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</si>
  <si>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</si>
  <si>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</si>
  <si>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</si>
  <si>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</si>
  <si>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</si>
  <si>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</si>
  <si>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</si>
  <si>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</si>
  <si>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</si>
  <si>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</si>
  <si>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</si>
  <si>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</si>
  <si>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</si>
  <si>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</si>
  <si>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</si>
  <si>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</si>
  <si>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</si>
  <si>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</si>
  <si>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</si>
  <si>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</si>
  <si>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</si>
  <si>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</si>
  <si>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</si>
  <si>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</si>
  <si>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</si>
  <si>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</si>
  <si>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</si>
  <si>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</si>
  <si>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</si>
  <si>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</si>
  <si>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</si>
  <si>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</si>
  <si>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</si>
  <si>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MICSPX</t>
  </si>
  <si>
    <t xml:space="preserve">FISCRA</t>
  </si>
  <si>
    <t xml:space="preserve">EQUSPX</t>
  </si>
  <si>
    <t xml:space="preserve">ALIPLA</t>
  </si>
  <si>
    <t xml:space="preserve">SPAEMB</t>
  </si>
  <si>
    <t xml:space="preserve">GLYFLU</t>
  </si>
  <si>
    <t xml:space="preserve">PHAARU</t>
  </si>
  <si>
    <t xml:space="preserve">SPAERE</t>
  </si>
  <si>
    <t xml:space="preserve">VERANA</t>
  </si>
  <si>
    <t xml:space="preserve">JUNSPX</t>
  </si>
  <si>
    <t xml:space="preserve">LYSVUL</t>
  </si>
  <si>
    <t xml:space="preserve">SCPHOL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</si>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</sst>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ROUBIO_21-05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42145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10.3636363636364</v>
      </c>
      <c r="N5" s="51"/>
      <c r="O5" s="52" t="s">
        <v>16</v>
      </c>
      <c r="P5" s="53" t="n">
        <v>11.3333333333333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80</v>
      </c>
      <c r="C7" s="69" t="n">
        <v>20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10.6666666666667</v>
      </c>
      <c r="P8" s="83" t="n">
        <f aca="false">IF(ISERROR(AVERAGE(K23:K82)),"  ",AVERAGE(K23:K82))</f>
        <v>1.66666666666667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30</v>
      </c>
      <c r="C9" s="86" t="n">
        <v>10.39</v>
      </c>
      <c r="D9" s="87"/>
      <c r="E9" s="87"/>
      <c r="F9" s="88" t="n">
        <f aca="false">($B9*$B$7+$C9*$C$7)/100</f>
        <v>26.078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2.35702260395516</v>
      </c>
      <c r="P9" s="83" t="n">
        <f aca="false">IF(ISERROR(STDEVP(K23:K82)),"  ",STDEVP(K23:K82))</f>
        <v>0.471404520791032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14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30</v>
      </c>
      <c r="C12" s="111" t="n">
        <v>5</v>
      </c>
      <c r="D12" s="87"/>
      <c r="E12" s="87"/>
      <c r="F12" s="104" t="n">
        <f aca="false">($B12*$B$7+$C12*$C$7)/100</f>
        <v>25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2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/>
      <c r="C13" s="111" t="n">
        <v>0.3</v>
      </c>
      <c r="D13" s="87"/>
      <c r="E13" s="87"/>
      <c r="F13" s="104" t="n">
        <f aca="false">($B13*$B$7+$C13*$C$7)/100</f>
        <v>0.06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1</v>
      </c>
      <c r="M13" s="108"/>
      <c r="N13" s="116" t="s">
        <v>41</v>
      </c>
      <c r="O13" s="117" t="n">
        <f aca="false">COUNTIF(F23:F82,"&gt;0")</f>
        <v>13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1</v>
      </c>
      <c r="M14" s="108"/>
      <c r="N14" s="119" t="s">
        <v>44</v>
      </c>
      <c r="O14" s="120" t="n">
        <f aca="false">COUNTIF($J$23:$J$82,"&gt;-1")</f>
        <v>9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 t="n">
        <v>5.09</v>
      </c>
      <c r="D15" s="87"/>
      <c r="E15" s="87"/>
      <c r="F15" s="104" t="n">
        <f aca="false">($B15*$B$7+$C15*$C$7)/100</f>
        <v>1.018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9</v>
      </c>
      <c r="M15" s="108"/>
      <c r="N15" s="116" t="s">
        <v>47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6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30</v>
      </c>
      <c r="C17" s="111" t="n">
        <v>10.29</v>
      </c>
      <c r="D17" s="87"/>
      <c r="E17" s="87"/>
      <c r="F17" s="129"/>
      <c r="G17" s="130" t="n">
        <f aca="false">($B17*$B$7+$C17*$C$7)/100</f>
        <v>26.058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0.692307692307692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 t="n">
        <v>0.1</v>
      </c>
      <c r="D18" s="87"/>
      <c r="E18" s="139" t="s">
        <v>54</v>
      </c>
      <c r="F18" s="129"/>
      <c r="G18" s="130" t="n">
        <f aca="false">($B18*$B$7+$C18*$C$7)/100</f>
        <v>0.02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26.078</v>
      </c>
      <c r="G19" s="150" t="n">
        <f aca="false">SUM(G16:G18)</f>
        <v>26.078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30</v>
      </c>
      <c r="C20" s="160" t="n">
        <f aca="false">SUM(C23:C62)</f>
        <v>10.39</v>
      </c>
      <c r="D20" s="161"/>
      <c r="E20" s="162" t="s">
        <v>54</v>
      </c>
      <c r="F20" s="163" t="n">
        <f aca="false">($B20*$B$7+$C20*$C$7)/100</f>
        <v>26.078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24</v>
      </c>
      <c r="C21" s="171" t="n">
        <f aca="false">C20*C7/100</f>
        <v>2.078</v>
      </c>
      <c r="D21" s="172" t="s">
        <v>57</v>
      </c>
      <c r="E21" s="173"/>
      <c r="F21" s="174" t="n">
        <f aca="false">B21+C21</f>
        <v>26.078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16</v>
      </c>
      <c r="B23" s="199" t="n">
        <v>29.25</v>
      </c>
      <c r="C23" s="200" t="n">
        <v>4.75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24.35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24.35</v>
      </c>
      <c r="S23" s="212" t="n">
        <f aca="false">IF(OR(ISTEXT(H23),R23=0),"",IF(R23&lt;0.1,1,IF(R23&lt;1,2,IF(R23&lt;10,3,IF(R23&lt;50,4,IF(R23&gt;=50,5,""))))))</f>
        <v>4</v>
      </c>
      <c r="T23" s="212" t="n">
        <f aca="false">IF(ISERROR(S23*J23),0,S23*J23)</f>
        <v>24</v>
      </c>
      <c r="U23" s="212" t="n">
        <f aca="false">IF(ISERROR(S23*J23*K23),0,S23*J23*K23)</f>
        <v>24</v>
      </c>
      <c r="V23" s="212" t="n">
        <f aca="false">IF(ISERROR(S23*K23),0,S23*K23)</f>
        <v>4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217" t="n">
        <v>0.75</v>
      </c>
      <c r="C24" s="218" t="n">
        <v>0.25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Microspora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0.65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Microspora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1132</v>
      </c>
      <c r="R24" s="211" t="n">
        <f aca="false">IF(ISTEXT(H24),"",(B24*$B$7/100)+(C24*$C$7/100))</f>
        <v>0.65</v>
      </c>
      <c r="S24" s="212" t="n">
        <f aca="false">IF(OR(ISTEXT(H24),R24=0),"",IF(R24&lt;0.1,1,IF(R24&lt;1,2,IF(R24&lt;10,3,IF(R24&lt;50,4,IF(R24&gt;=50,5,""))))))</f>
        <v>2</v>
      </c>
      <c r="T24" s="212" t="n">
        <f aca="false">IF(ISERROR(S24*J24),0,S24*J24)</f>
        <v>24</v>
      </c>
      <c r="U24" s="212" t="n">
        <f aca="false">IF(ISERROR(S24*J24*K24),0,S24*J24*K24)</f>
        <v>48</v>
      </c>
      <c r="V24" s="228" t="n">
        <f aca="false">IF(ISERROR(S24*K24),0,S24*K24)</f>
        <v>4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MICSPX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66</v>
      </c>
    </row>
    <row r="25" customFormat="false" ht="12.75" hidden="false" customHeight="false" outlineLevel="0" collapsed="false">
      <c r="A25" s="216" t="s">
        <v>81</v>
      </c>
      <c r="B25" s="217" t="n">
        <v>0</v>
      </c>
      <c r="C25" s="218" t="n">
        <v>0.3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Fissidens crassipes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0.06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BRm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5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12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Fissidens crassipes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1294</v>
      </c>
      <c r="R25" s="211" t="n">
        <f aca="false">IF(ISTEXT(H25),"",(B25*$B$7/100)+(C25*$C$7/100))</f>
        <v>0.06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12</v>
      </c>
      <c r="U25" s="212" t="n">
        <f aca="false">IF(ISERROR(S25*J25*K25),0,S25*J25*K25)</f>
        <v>24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FISCRA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255</v>
      </c>
    </row>
    <row r="26" customFormat="false" ht="12.75" hidden="false" customHeight="false" outlineLevel="0" collapsed="false">
      <c r="A26" s="216" t="s">
        <v>82</v>
      </c>
      <c r="B26" s="217" t="n">
        <v>0</v>
      </c>
      <c r="C26" s="218" t="n">
        <v>0.01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Equisetum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0.002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PTE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6</v>
      </c>
      <c r="I26" s="8" t="n">
        <f aca="false">IF(A26="","",1)</f>
        <v>1</v>
      </c>
      <c r="J26" s="224" t="str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nc</v>
      </c>
      <c r="K26" s="224" t="str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nc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Equisetum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1383</v>
      </c>
      <c r="R26" s="211" t="n">
        <f aca="false">IF(ISTEXT(H26),"",(B26*$B$7/100)+(C26*$C$7/100))</f>
        <v>0.002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0</v>
      </c>
      <c r="U26" s="212" t="n">
        <f aca="false">IF(ISERROR(S26*J26*K26),0,S26*J26*K26)</f>
        <v>0</v>
      </c>
      <c r="V26" s="228" t="n">
        <f aca="false">IF(ISERROR(S26*K26),0,S26*K26)</f>
        <v>0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EQUSPX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391</v>
      </c>
    </row>
    <row r="27" customFormat="false" ht="12.75" hidden="false" customHeight="false" outlineLevel="0" collapsed="false">
      <c r="A27" s="216" t="s">
        <v>83</v>
      </c>
      <c r="B27" s="217" t="n">
        <v>0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Alisma plantago-aquatica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0.002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PHe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7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8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Alisma plantago-aquatica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1447</v>
      </c>
      <c r="R27" s="211" t="n">
        <f aca="false">IF(ISTEXT(H27),"",(B27*$B$7/100)+(C27*$C$7/100))</f>
        <v>0.002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8</v>
      </c>
      <c r="U27" s="212" t="n">
        <f aca="false">IF(ISERROR(S27*J27*K27),0,S27*J27*K27)</f>
        <v>16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ALIPLA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415</v>
      </c>
    </row>
    <row r="28" customFormat="false" ht="12.75" hidden="false" customHeight="false" outlineLevel="0" collapsed="false">
      <c r="A28" s="216" t="s">
        <v>84</v>
      </c>
      <c r="B28" s="217" t="n">
        <v>0</v>
      </c>
      <c r="C28" s="218" t="n">
        <v>0.01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Sparganium emersum fo. brevifolium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0.002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PHy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7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13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Sparganium emersum fo. brevifolium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19694</v>
      </c>
      <c r="R28" s="211" t="n">
        <f aca="false">IF(ISTEXT(H28),"",(B28*$B$7/100)+(C28*$C$7/100))</f>
        <v>0.002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13</v>
      </c>
      <c r="U28" s="212" t="n">
        <f aca="false">IF(ISERROR(S28*J28*K28),0,S28*J28*K28)</f>
        <v>26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SPAEMB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593</v>
      </c>
    </row>
    <row r="29" customFormat="false" ht="12.75" hidden="false" customHeight="false" outlineLevel="0" collapsed="false">
      <c r="A29" s="216" t="s">
        <v>85</v>
      </c>
      <c r="B29" s="217" t="n">
        <v>0</v>
      </c>
      <c r="C29" s="218" t="n">
        <v>0.01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Glyceria fluitans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0.002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PHe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8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14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Glyceria fluitans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1564</v>
      </c>
      <c r="R29" s="211" t="n">
        <f aca="false">IF(ISTEXT(H29),"",(B29*$B$7/100)+(C29*$C$7/100))</f>
        <v>0.002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14</v>
      </c>
      <c r="U29" s="212" t="n">
        <f aca="false">IF(ISERROR(S29*J29*K29),0,S29*J29*K29)</f>
        <v>28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GLYFLU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676</v>
      </c>
    </row>
    <row r="30" customFormat="false" ht="12.75" hidden="false" customHeight="false" outlineLevel="0" collapsed="false">
      <c r="A30" s="216" t="s">
        <v>86</v>
      </c>
      <c r="B30" s="217" t="n">
        <v>0</v>
      </c>
      <c r="C30" s="218" t="n">
        <v>0.01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Phalaris arundinacea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0.002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PHe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8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Phalaris arundinacea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1577</v>
      </c>
      <c r="R30" s="211" t="n">
        <f aca="false">IF(ISTEXT(H30),"",(B30*$B$7/100)+(C30*$C$7/100))</f>
        <v>0.002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10</v>
      </c>
      <c r="U30" s="212" t="n">
        <f aca="false">IF(ISERROR(S30*J30*K30),0,S30*J30*K30)</f>
        <v>10</v>
      </c>
      <c r="V30" s="228" t="n">
        <f aca="false">IF(ISERROR(S30*K30),0,S30*K30)</f>
        <v>1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PHAARU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707</v>
      </c>
    </row>
    <row r="31" customFormat="false" ht="12.75" hidden="false" customHeight="false" outlineLevel="0" collapsed="false">
      <c r="A31" s="216" t="s">
        <v>87</v>
      </c>
      <c r="B31" s="217" t="n">
        <v>0</v>
      </c>
      <c r="C31" s="218" t="n">
        <v>5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Sparganium erectum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1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PHe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8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Sparganium erectum</v>
      </c>
      <c r="M31" s="225"/>
      <c r="N31" s="225"/>
      <c r="O31" s="225"/>
      <c r="P31" s="226" t="s">
        <v>79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1671</v>
      </c>
      <c r="R31" s="211" t="n">
        <f aca="false">IF(ISTEXT(H31),"",(B31*$B$7/100)+(C31*$C$7/100))</f>
        <v>1</v>
      </c>
      <c r="S31" s="212" t="n">
        <f aca="false">IF(OR(ISTEXT(H31),R31=0),"",IF(R31&lt;0.1,1,IF(R31&lt;1,2,IF(R31&lt;10,3,IF(R31&lt;50,4,IF(R31&gt;=50,5,""))))))</f>
        <v>3</v>
      </c>
      <c r="T31" s="212" t="n">
        <f aca="false">IF(ISERROR(S31*J31),0,S31*J31)</f>
        <v>30</v>
      </c>
      <c r="U31" s="212" t="n">
        <f aca="false">IF(ISERROR(S31*J31*K31),0,S31*J31*K31)</f>
        <v>30</v>
      </c>
      <c r="V31" s="228" t="n">
        <f aca="false">IF(ISERROR(S31*K31),0,S31*K31)</f>
        <v>3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SPAERE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732</v>
      </c>
    </row>
    <row r="32" customFormat="false" ht="12.75" hidden="false" customHeight="false" outlineLevel="0" collapsed="false">
      <c r="A32" s="216" t="s">
        <v>88</v>
      </c>
      <c r="B32" s="217" t="n">
        <v>0</v>
      </c>
      <c r="C32" s="218" t="n">
        <v>0.01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Veronica anagallis-aquatica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0.002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PHe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8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11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Veronica anagallis-aquatica</v>
      </c>
      <c r="M32" s="225"/>
      <c r="N32" s="225"/>
      <c r="O32" s="225"/>
      <c r="P32" s="226" t="s">
        <v>79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1955</v>
      </c>
      <c r="R32" s="211" t="n">
        <f aca="false">IF(ISTEXT(H32),"",(B32*$B$7/100)+(C32*$C$7/100))</f>
        <v>0.002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11</v>
      </c>
      <c r="U32" s="212" t="n">
        <f aca="false">IF(ISERROR(S32*J32*K32),0,S32*J32*K32)</f>
        <v>22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VERANA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740</v>
      </c>
    </row>
    <row r="33" customFormat="false" ht="12.75" hidden="false" customHeight="false" outlineLevel="0" collapsed="false">
      <c r="A33" s="216" t="s">
        <v>89</v>
      </c>
      <c r="B33" s="217" t="n">
        <v>0</v>
      </c>
      <c r="C33" s="218" t="n">
        <v>0.01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Juncus sp.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0.002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PHg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9</v>
      </c>
      <c r="I33" s="8" t="n">
        <f aca="false">IF(A33="","",1)</f>
        <v>1</v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nc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nc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Juncus sp.</v>
      </c>
      <c r="M33" s="225"/>
      <c r="N33" s="225"/>
      <c r="O33" s="225"/>
      <c r="P33" s="226" t="s">
        <v>79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1606</v>
      </c>
      <c r="R33" s="211" t="n">
        <f aca="false">IF(ISTEXT(H33),"",(B33*$B$7/100)+(C33*$C$7/100))</f>
        <v>0.002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JUNSPX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881</v>
      </c>
    </row>
    <row r="34" customFormat="false" ht="12.75" hidden="false" customHeight="false" outlineLevel="0" collapsed="false">
      <c r="A34" s="216" t="s">
        <v>90</v>
      </c>
      <c r="B34" s="217" t="n">
        <v>0</v>
      </c>
      <c r="C34" s="218" t="n">
        <v>0.01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Lysimachia vulgaris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0.002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PHg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9</v>
      </c>
      <c r="I34" s="8" t="n">
        <f aca="false">IF(A34="","",1)</f>
        <v>1</v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Lysimachia vulgaris</v>
      </c>
      <c r="M34" s="225"/>
      <c r="N34" s="225"/>
      <c r="O34" s="225"/>
      <c r="P34" s="226" t="s">
        <v>79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1887</v>
      </c>
      <c r="R34" s="211" t="n">
        <f aca="false">IF(ISTEXT(H34),"",(B34*$B$7/100)+(C34*$C$7/100))</f>
        <v>0.002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LYSVUL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899</v>
      </c>
    </row>
    <row r="35" customFormat="false" ht="12.75" hidden="false" customHeight="false" outlineLevel="0" collapsed="false">
      <c r="A35" s="216" t="s">
        <v>91</v>
      </c>
      <c r="B35" s="217" t="n">
        <v>0</v>
      </c>
      <c r="C35" s="218" t="n">
        <v>0.01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Scirpoides holoschoenus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0.002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PHg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9</v>
      </c>
      <c r="I35" s="8" t="n">
        <f aca="false">IF(A35="","",1)</f>
        <v>1</v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nc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nc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Scirpoides holoschoenus</v>
      </c>
      <c r="M35" s="225"/>
      <c r="N35" s="225"/>
      <c r="O35" s="225"/>
      <c r="P35" s="226" t="s">
        <v>79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19685</v>
      </c>
      <c r="R35" s="211" t="n">
        <f aca="false">IF(ISTEXT(H35),"",(B35*$B$7/100)+(C35*$C$7/100))</f>
        <v>0.002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SCPHOL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961</v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79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26.078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22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ROUBION</v>
      </c>
      <c r="B84" s="180" t="str">
        <f aca="false">C3</f>
        <v>ROUBION A MONTELIMAR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10.3636363636364</v>
      </c>
      <c r="E84" s="254" t="n">
        <f aca="false">O13</f>
        <v>13</v>
      </c>
      <c r="F84" s="180" t="n">
        <f aca="false">O14</f>
        <v>9</v>
      </c>
      <c r="G84" s="180" t="n">
        <f aca="false">O15</f>
        <v>3</v>
      </c>
      <c r="H84" s="180" t="n">
        <f aca="false">O16</f>
        <v>6</v>
      </c>
      <c r="I84" s="180" t="n">
        <f aca="false">O17</f>
        <v>0</v>
      </c>
      <c r="J84" s="255" t="n">
        <f aca="false">O8</f>
        <v>10.6666666666667</v>
      </c>
      <c r="K84" s="256" t="n">
        <f aca="false">O9</f>
        <v>2.35702260395516</v>
      </c>
      <c r="L84" s="257" t="n">
        <f aca="false">O10</f>
        <v>6</v>
      </c>
      <c r="M84" s="257" t="n">
        <f aca="false">O11</f>
        <v>14</v>
      </c>
      <c r="N84" s="256" t="n">
        <f aca="false">P8</f>
        <v>1.66666666666667</v>
      </c>
      <c r="O84" s="256" t="n">
        <f aca="false">P9</f>
        <v>0.471404520791032</v>
      </c>
      <c r="P84" s="257" t="n">
        <f aca="false">P10</f>
        <v>1</v>
      </c>
      <c r="Q84" s="257" t="n">
        <f aca="false">P11</f>
        <v>2</v>
      </c>
      <c r="R84" s="257" t="n">
        <f aca="false">F21</f>
        <v>26.078</v>
      </c>
      <c r="S84" s="257" t="n">
        <f aca="false">L11</f>
        <v>0</v>
      </c>
      <c r="T84" s="257" t="n">
        <f aca="false">L12</f>
        <v>2</v>
      </c>
      <c r="U84" s="257" t="n">
        <f aca="false">L13</f>
        <v>1</v>
      </c>
      <c r="V84" s="258" t="n">
        <f aca="false">L15</f>
        <v>9</v>
      </c>
      <c r="W84" s="259" t="n">
        <f aca="false">L15</f>
        <v>9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92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93</v>
      </c>
      <c r="S87" s="8"/>
      <c r="T87" s="263" t="n">
        <f aca="false">VLOOKUP($T$91,($A$23:$U$82),20,FALSE())</f>
        <v>24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94</v>
      </c>
      <c r="S88" s="8"/>
      <c r="T88" s="263" t="n">
        <f aca="false">VLOOKUP($T$91,($A$23:$U$82),21,FALSE())</f>
        <v>24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95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96</v>
      </c>
      <c r="S90" s="8" t="s">
        <v>10</v>
      </c>
      <c r="T90" s="264" t="n">
        <f aca="false">IF(OR(ISERROR(SUM($U$23:$U$82)/SUM($V$23:$V$82)),F7&lt;&gt;100),-1,(SUM($U$23:$U$82)-T88)/(SUM($V$23:$V$82)-T89))</f>
        <v>11.3333333333333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97</v>
      </c>
      <c r="S91" s="212"/>
      <c r="T91" s="212" t="str">
        <f aca="false">INDEX('[1]liste reference'!$A$6:$A$1174,$U$91)</f>
        <v>CLASPX</v>
      </c>
      <c r="U91" s="8" t="n">
        <f aca="false">IF(ISERROR(MATCH($T$93,'[1]liste reference'!$A$6:$A$1174,0)),MATCH($T$93,'[1]liste reference'!$B$6:$B$1174,0),(MATCH($T$93,'[1]liste reference'!$A$6:$A$1174,0)))</f>
        <v>35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98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99</v>
      </c>
      <c r="S93" s="8"/>
      <c r="T93" s="212" t="str">
        <f aca="false">INDEX($A$23:$A$82,$T$92)</f>
        <v>CLASPX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2015-12-28T16:26:30Z</dcterms:created>
  <dc:creator>Laboratoire hydrobiologie SAGE</dc:creator>
  <dc:description/>
  <dc:language>fr-FR</dc:language>
  <cp:lastModifiedBy>Laboratoire hydrobiologie SAGE</cp:lastModifiedBy>
  <dcterms:modified xsi:type="dcterms:W3CDTF">2015-12-28T16:26:43Z</dcterms:modified>
  <cp:revision>0</cp:revision>
  <dc:subject/>
  <dc:title/>
</cp:coreProperties>
</file>