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<sst xmlns="http://schemas.openxmlformats.org/spreadsheetml/2006/main" count="109" uniqueCount="104">
  <si>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</si>
  <si>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</si>
  <si>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</si>
  <si>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CBERNARD</t>
  </si>
  <si>
    <t xml:space="preserve">conforme AFNOR T90-395 oct. 2003</t>
  </si>
  <si>
    <t xml:space="preserve">JABRON</t>
  </si>
  <si>
    <t xml:space="preserve">Jabron à Montélimar</t>
  </si>
  <si>
    <t xml:space="preserve">06580330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</si>
  <si>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</si>
  <si>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</si>
  <si>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</si>
  <si>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</si>
  <si>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</si>
  <si>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</si>
  <si>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</si>
  <si>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</si>
  <si>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</si>
  <si>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</si>
  <si>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</si>
  <si>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</si>
  <si>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</si>
  <si>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</si>
  <si>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</si>
  <si>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</si>
  <si>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</si>
  <si>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</si>
  <si>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</si>
  <si>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</si>
  <si>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</si>
  <si>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</si>
  <si>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</si>
  <si>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</si>
  <si>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</si>
  <si>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</si>
  <si>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</si>
  <si>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</si>
  <si>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</si>
  <si>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</si>
  <si>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</si>
  <si>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</si>
  <si>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</si>
  <si>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</si>
  <si>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</si>
  <si>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</si>
  <si>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</si>
  <si>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</si>
  <si>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</si>
  <si>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</si>
  <si>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</si>
  <si>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</si>
  <si>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</si>
  <si>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</si>
  <si>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</si>
  <si>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</si>
  <si>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</si>
  <si>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</si>
  <si>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</si>
  <si>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</si>
  <si>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</si>
  <si>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</si>
  <si>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</si>
  <si>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</si>
  <si>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</si>
  <si>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</si>
  <si>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</si>
  <si>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</si>
  <si>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</si>
  <si>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</si>
  <si>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</si>
  <si>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</si>
  <si>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</si>
  <si>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</si>
  <si>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</si>
  <si>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</si>
  <si>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</si>
  <si>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</si>
  <si>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</si>
  <si>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DIASPX</t>
  </si>
  <si>
    <t xml:space="preserve">OEDSPX</t>
  </si>
  <si>
    <t xml:space="preserve">VAUSPX</t>
  </si>
  <si>
    <t xml:space="preserve">PELEND</t>
  </si>
  <si>
    <t xml:space="preserve">FISCRA</t>
  </si>
  <si>
    <t xml:space="preserve">EQUPAL</t>
  </si>
  <si>
    <t xml:space="preserve">AGRSTO</t>
  </si>
  <si>
    <t xml:space="preserve">GLYFLU</t>
  </si>
  <si>
    <t xml:space="preserve">LYTSAL</t>
  </si>
  <si>
    <t xml:space="preserve">MENAQU</t>
  </si>
  <si>
    <t xml:space="preserve">NASOFF</t>
  </si>
  <si>
    <t xml:space="preserve">PHAARU</t>
  </si>
  <si>
    <t xml:space="preserve">PHRAUS</t>
  </si>
  <si>
    <t xml:space="preserve">ARUDON</t>
  </si>
  <si>
    <t xml:space="preserve">URTDIO</t>
  </si>
  <si>
    <t xml:space="preserve">newcod</t>
  </si>
  <si>
    <t xml:space="preserve">Salix purpurea</t>
  </si>
  <si>
    <t xml:space="preserve">Leptolyngbia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</si>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</sst>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JAMON_24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9.34782608695652</v>
      </c>
      <c r="M5" s="53"/>
      <c r="N5" s="54" t="s">
        <v>16</v>
      </c>
      <c r="O5" s="55" t="n">
        <v>10.0526315789474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97</v>
      </c>
      <c r="C7" s="67" t="n">
        <v>3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9.66666666666667</v>
      </c>
      <c r="O8" s="84" t="n">
        <f aca="false">IF(ISERROR(AVERAGE(J23:J82)),"      -",AVERAGE(J23:J82))</f>
        <v>1.41666666666667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40.82</v>
      </c>
      <c r="C9" s="87" t="n">
        <v>3.41</v>
      </c>
      <c r="D9" s="88"/>
      <c r="E9" s="88"/>
      <c r="F9" s="89" t="n">
        <f aca="false">($B9*$B$7+$C9*$C$7)/100</f>
        <v>39.6977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2.83823106098773</v>
      </c>
      <c r="O9" s="84" t="n">
        <f aca="false">IF(ISERROR(STDEVP(J23:J82)),"      -",STDEVP(J23:J82))</f>
        <v>0.493006648591635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14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40.32</v>
      </c>
      <c r="C12" s="119" t="n">
        <v>2.2</v>
      </c>
      <c r="D12" s="111"/>
      <c r="E12" s="111"/>
      <c r="F12" s="112" t="n">
        <f aca="false">($B12*$B$7+$C12*$C$7)/100</f>
        <v>39.1764</v>
      </c>
      <c r="G12" s="120"/>
      <c r="H12" s="68"/>
      <c r="I12" s="121" t="s">
        <v>38</v>
      </c>
      <c r="J12" s="121"/>
      <c r="K12" s="115" t="n">
        <f aca="false">COUNTIF($G$23:$G$82,"=ALG")</f>
        <v>4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 t="n">
        <v>0.11</v>
      </c>
      <c r="D13" s="111"/>
      <c r="E13" s="111"/>
      <c r="F13" s="112" t="n">
        <f aca="false">($B13*$B$7+$C13*$C$7)/100</f>
        <v>0.0033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2</v>
      </c>
      <c r="L13" s="116"/>
      <c r="M13" s="127" t="s">
        <v>41</v>
      </c>
      <c r="N13" s="128" t="n">
        <f aca="false">COUNTIF(F23:F82,"&gt;0")</f>
        <v>18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1</v>
      </c>
      <c r="L14" s="116"/>
      <c r="M14" s="131" t="s">
        <v>44</v>
      </c>
      <c r="N14" s="132" t="n">
        <f aca="false">COUNTIF($I$23:$I$82,"&gt;-1")</f>
        <v>12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 t="n">
        <v>0.5</v>
      </c>
      <c r="C15" s="136" t="n">
        <v>1.1</v>
      </c>
      <c r="D15" s="111"/>
      <c r="E15" s="111"/>
      <c r="F15" s="112" t="n">
        <f aca="false">($B15*$B$7+$C15*$C$7)/100</f>
        <v>0.518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9</v>
      </c>
      <c r="L15" s="116"/>
      <c r="M15" s="137" t="s">
        <v>47</v>
      </c>
      <c r="N15" s="138" t="n">
        <f aca="false">COUNTIF(J23:J82,"=1")</f>
        <v>7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40.32</v>
      </c>
      <c r="C17" s="119" t="n">
        <v>2.31</v>
      </c>
      <c r="D17" s="111"/>
      <c r="E17" s="111"/>
      <c r="F17" s="143"/>
      <c r="G17" s="112" t="n">
        <f aca="false">($B17*$B$7+$C17*$C$7)/100</f>
        <v>39.1797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 t="n">
        <v>0.5</v>
      </c>
      <c r="C18" s="146" t="n">
        <v>1.1</v>
      </c>
      <c r="D18" s="111"/>
      <c r="E18" s="147" t="s">
        <v>53</v>
      </c>
      <c r="F18" s="143"/>
      <c r="G18" s="112" t="n">
        <f aca="false">($B18*$B$7+$C18*$C$7)/100</f>
        <v>0.518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39.6977</v>
      </c>
      <c r="G19" s="156" t="n">
        <f aca="false">SUM(G16:G18)</f>
        <v>39.6977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40.82</v>
      </c>
      <c r="C20" s="166" t="n">
        <f aca="false">SUM(C23:C82)</f>
        <v>3.41</v>
      </c>
      <c r="D20" s="167"/>
      <c r="E20" s="168" t="s">
        <v>53</v>
      </c>
      <c r="F20" s="169" t="n">
        <f aca="false">($B20*$B$7+$C20*$C$7)/100</f>
        <v>39.6977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39.5954</v>
      </c>
      <c r="C21" s="179" t="n">
        <f aca="false">C20*C7/100</f>
        <v>0.1023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39.6977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2.75" hidden="false" customHeight="false" outlineLevel="0" collapsed="false">
      <c r="A23" s="204" t="s">
        <v>16</v>
      </c>
      <c r="B23" s="205" t="n">
        <v>29.15</v>
      </c>
      <c r="C23" s="206" t="n">
        <v>1.85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28.331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28.331</v>
      </c>
      <c r="R23" s="217" t="n">
        <f aca="false">IF(OR(ISTEXT(H23),Q23=0),"",IF(Q23&lt;0.1,1,IF(Q23&lt;1,2,IF(Q23&lt;10,3,IF(Q23&lt;50,4,IF(Q23&gt;=50,5,""))))))</f>
        <v>4</v>
      </c>
      <c r="S23" s="217" t="n">
        <f aca="false">IF(ISERROR(R23*I23),0,R23*I23)</f>
        <v>24</v>
      </c>
      <c r="T23" s="217" t="n">
        <f aca="false">IF(ISERROR(R23*I23*J23),0,R23*I23*J23)</f>
        <v>24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77</v>
      </c>
      <c r="B24" s="224" t="n">
        <v>1.01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0.9797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6" t="n">
        <f aca="false">IF(ISTEXT(H24),"",(B24*$B$7/100)+(C24*$C$7/100))</f>
        <v>0.9797</v>
      </c>
      <c r="R24" s="217" t="n">
        <f aca="false">IF(OR(ISTEXT(H24),Q24=0),"",IF(Q24&lt;0.1,1,IF(Q24&lt;1,2,IF(Q24&lt;10,3,IF(Q24&lt;50,4,IF(Q24&gt;=50,5,""))))))</f>
        <v>2</v>
      </c>
      <c r="S24" s="217" t="n">
        <f aca="false">IF(ISERROR(R24*I24),0,R24*I24)</f>
        <v>24</v>
      </c>
      <c r="T24" s="217" t="n">
        <f aca="false">IF(ISERROR(R24*I24*J24),0,R24*I24*J24)</f>
        <v>48</v>
      </c>
      <c r="U24" s="229" t="n">
        <f aca="false">IF(ISERROR(R24*J24),0,R24*J24)</f>
        <v>4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78</v>
      </c>
      <c r="B25" s="224" t="n">
        <v>0.01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Oedogonium sp.</v>
      </c>
      <c r="E25" s="226" t="e">
        <f aca="false">IF(D25="",0,VLOOKUP(D25,D$22:D24,1,0))</f>
        <v>#N/A</v>
      </c>
      <c r="F25" s="227" t="n">
        <f aca="false">($B25*$B$7+$C25*$C$7)/100</f>
        <v>0.0097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6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Oedogonium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6" t="n">
        <f aca="false">IF(ISTEXT(H25),"",(B25*$B$7/100)+(C25*$C$7/100))</f>
        <v>0.0097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6</v>
      </c>
      <c r="T25" s="217" t="n">
        <f aca="false">IF(ISERROR(R25*I25*J25),0,R25*I25*J25)</f>
        <v>12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OEDSPX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55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79</v>
      </c>
      <c r="B26" s="224" t="n">
        <v>0.15</v>
      </c>
      <c r="C26" s="225" t="n">
        <v>0.35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Vaucheria sp.</v>
      </c>
      <c r="E26" s="226" t="e">
        <f aca="false">IF(D26="",0,VLOOKUP(D26,D$22:D25,1,0))</f>
        <v>#N/A</v>
      </c>
      <c r="F26" s="227" t="n">
        <f aca="false">($B26*$B$7+$C26*$C$7)/100</f>
        <v>0.156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4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Vaucheria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6" t="n">
        <f aca="false">IF(ISTEXT(H26),"",(B26*$B$7/100)+(C26*$C$7/100))</f>
        <v>0.156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8</v>
      </c>
      <c r="T26" s="217" t="n">
        <f aca="false">IF(ISERROR(R26*I26*J26),0,R26*I26*J26)</f>
        <v>8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VAUSPX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80</v>
      </c>
      <c r="B27" s="224" t="n">
        <v>0</v>
      </c>
      <c r="C27" s="225" t="n">
        <v>0.01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Pellia endiviifolia</v>
      </c>
      <c r="E27" s="226" t="e">
        <f aca="false">IF(D27="",0,VLOOKUP(D27,D$22:D26,1,0))</f>
        <v>#N/A</v>
      </c>
      <c r="F27" s="227" t="n">
        <f aca="false">($B27*$B$7+$C27*$C$7)/100</f>
        <v>0.0003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Pellia endiviifolia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1197</v>
      </c>
      <c r="Q27" s="216" t="n">
        <f aca="false">IF(ISTEXT(H27),"",(B27*$B$7/100)+(C27*$C$7/100))</f>
        <v>0.0003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PELEND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120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81</v>
      </c>
      <c r="B28" s="224" t="n">
        <v>0</v>
      </c>
      <c r="C28" s="225" t="n">
        <v>0.1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Fissidens crassipes</v>
      </c>
      <c r="E28" s="226" t="e">
        <f aca="false">IF(D28="",0,VLOOKUP(D28,D$22:D27,1,0))</f>
        <v>#N/A</v>
      </c>
      <c r="F28" s="227" t="n">
        <f aca="false">($B28*$B$7+$C28*$C$7)/100</f>
        <v>0.003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Fissidens crassipes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1294</v>
      </c>
      <c r="Q28" s="216" t="n">
        <f aca="false">IF(ISTEXT(H28),"",(B28*$B$7/100)+(C28*$C$7/100))</f>
        <v>0.003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24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FISCRA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197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82</v>
      </c>
      <c r="B29" s="224" t="n">
        <v>0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Equisetum palustre</v>
      </c>
      <c r="E29" s="226" t="e">
        <f aca="false">IF(D29="",0,VLOOKUP(D29,D$22:D28,1,0))</f>
        <v>#N/A</v>
      </c>
      <c r="F29" s="227" t="n">
        <f aca="false">($B29*$B$7+$C29*$C$7)/100</f>
        <v>0.0003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PTE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6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Equisetum palustre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1387</v>
      </c>
      <c r="Q29" s="216" t="n">
        <f aca="false">IF(ISTEXT(H29),"",(B29*$B$7/100)+(C29*$C$7/100))</f>
        <v>0.0003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10</v>
      </c>
      <c r="T29" s="217" t="n">
        <f aca="false">IF(ISERROR(R29*I29*J29),0,R29*I29*J29)</f>
        <v>10</v>
      </c>
      <c r="U29" s="229" t="n">
        <f aca="false">IF(ISERROR(R29*J29),0,R29*J29)</f>
        <v>1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EQUPAL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281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83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Agrostis stolonifera</v>
      </c>
      <c r="E30" s="226" t="e">
        <f aca="false">IF(D30="",0,VLOOKUP(D30,D$22:D29,1,0))</f>
        <v>#N/A</v>
      </c>
      <c r="F30" s="227" t="n">
        <f aca="false">($B30*$B$7+$C30*$C$7)/100</f>
        <v>0.0003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Agrostis stolonifera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1543</v>
      </c>
      <c r="Q30" s="216" t="n">
        <f aca="false">IF(ISTEXT(H30),"",(B30*$B$7/100)+(C30*$C$7/100))</f>
        <v>0.0003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10</v>
      </c>
      <c r="T30" s="217" t="n">
        <f aca="false">IF(ISERROR(R30*I30*J30),0,R30*I30*J30)</f>
        <v>10</v>
      </c>
      <c r="U30" s="229" t="n">
        <f aca="false">IF(ISERROR(R30*J30),0,R30*J30)</f>
        <v>1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AGRSTO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514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84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Glyceria fluitans</v>
      </c>
      <c r="E31" s="226" t="e">
        <f aca="false">IF(D31="",0,VLOOKUP(D31,D$22:D30,1,0))</f>
        <v>#N/A</v>
      </c>
      <c r="F31" s="227" t="n">
        <f aca="false">($B31*$B$7+$C31*$C$7)/100</f>
        <v>0.0003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14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Glyceria fluitans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1564</v>
      </c>
      <c r="Q31" s="216" t="n">
        <f aca="false">IF(ISTEXT(H31),"",(B31*$B$7/100)+(C31*$C$7/100))</f>
        <v>0.0003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14</v>
      </c>
      <c r="T31" s="217" t="n">
        <f aca="false">IF(ISERROR(R31*I31*J31),0,R31*I31*J31)</f>
        <v>28</v>
      </c>
      <c r="U31" s="229" t="n">
        <f aca="false">IF(ISERROR(R31*J31),0,R31*J31)</f>
        <v>2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GLYFLU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575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85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Lythrum salicaria</v>
      </c>
      <c r="E32" s="226" t="e">
        <f aca="false">IF(D32="",0,VLOOKUP(D32,D$22:D31,1,0))</f>
        <v>#N/A</v>
      </c>
      <c r="F32" s="227" t="n">
        <f aca="false">($B32*$B$7+$C32*$C$7)/100</f>
        <v>0.0003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Lythrum salicaria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1823</v>
      </c>
      <c r="Q32" s="216" t="n">
        <f aca="false">IF(ISTEXT(H32),"",(B32*$B$7/100)+(C32*$C$7/100))</f>
        <v>0.0003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LYTSAL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605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86</v>
      </c>
      <c r="B33" s="224" t="n">
        <v>0</v>
      </c>
      <c r="C33" s="225" t="n">
        <v>0.01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Mentha aquatica</v>
      </c>
      <c r="E33" s="226" t="e">
        <f aca="false">IF(D33="",0,VLOOKUP(D33,D$22:D32,1,0))</f>
        <v>#N/A</v>
      </c>
      <c r="F33" s="227" t="n">
        <f aca="false">($B33*$B$7+$C33*$C$7)/100</f>
        <v>0.0003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12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Mentha aquatica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1791</v>
      </c>
      <c r="Q33" s="216" t="n">
        <f aca="false">IF(ISTEXT(H33),"",(B33*$B$7/100)+(C33*$C$7/100))</f>
        <v>0.0003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12</v>
      </c>
      <c r="T33" s="217" t="n">
        <f aca="false">IF(ISERROR(R33*I33*J33),0,R33*I33*J33)</f>
        <v>12</v>
      </c>
      <c r="U33" s="229" t="n">
        <f aca="false">IF(ISERROR(R33*J33),0,R33*J33)</f>
        <v>1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MENAQU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607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87</v>
      </c>
      <c r="B34" s="224" t="n">
        <v>0</v>
      </c>
      <c r="C34" s="225" t="n">
        <v>0.01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Nasturtium officinale</v>
      </c>
      <c r="E34" s="226" t="e">
        <f aca="false">IF(D34="",0,VLOOKUP(D34,D$22:D33,1,0))</f>
        <v>#N/A</v>
      </c>
      <c r="F34" s="231" t="n">
        <f aca="false">($B34*$B$7+$C34*$C$7)/100</f>
        <v>0.0003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1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11</v>
      </c>
      <c r="J34" s="211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Nasturtium officinale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1763</v>
      </c>
      <c r="Q34" s="216" t="n">
        <f aca="false">IF(ISTEXT(H34),"",(B34*$B$7/100)+(C34*$C$7/100))</f>
        <v>0.0003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11</v>
      </c>
      <c r="T34" s="217" t="n">
        <f aca="false">IF(ISERROR(R34*I34*J34),0,R34*I34*J34)</f>
        <v>11</v>
      </c>
      <c r="U34" s="229" t="n">
        <f aca="false">IF(ISERROR(R34*J34),0,R34*J34)</f>
        <v>1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NASOFF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628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88</v>
      </c>
      <c r="B35" s="224" t="n">
        <v>0</v>
      </c>
      <c r="C35" s="225" t="n">
        <v>0.01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Phalaris arundinacea</v>
      </c>
      <c r="E35" s="226" t="e">
        <f aca="false">IF(D35="",0,VLOOKUP(D35,D$22:D34,1,0))</f>
        <v>#N/A</v>
      </c>
      <c r="F35" s="231" t="n">
        <f aca="false">($B35*$B$7+$C35*$C$7)/100</f>
        <v>0.0003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PHe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8</v>
      </c>
      <c r="I35" s="211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10</v>
      </c>
      <c r="J35" s="211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1</v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Phalaris arundinacea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1577</v>
      </c>
      <c r="Q35" s="216" t="n">
        <f aca="false">IF(ISTEXT(H35),"",(B35*$B$7/100)+(C35*$C$7/100))</f>
        <v>0.0003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10</v>
      </c>
      <c r="T35" s="217" t="n">
        <f aca="false">IF(ISERROR(R35*I35*J35),0,R35*I35*J35)</f>
        <v>10</v>
      </c>
      <c r="U35" s="229" t="n">
        <f aca="false">IF(ISERROR(R35*J35),0,R35*J35)</f>
        <v>1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PHAARU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634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89</v>
      </c>
      <c r="B36" s="224" t="n">
        <v>0</v>
      </c>
      <c r="C36" s="225" t="n">
        <v>1</v>
      </c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Phragmites australis</v>
      </c>
      <c r="E36" s="226" t="e">
        <f aca="false">IF(D36="",0,VLOOKUP(D36,D$22:D35,1,0))</f>
        <v>#N/A</v>
      </c>
      <c r="F36" s="231" t="n">
        <f aca="false">($B36*$B$7+$C36*$C$7)/100</f>
        <v>0.03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PHe</v>
      </c>
      <c r="H36" s="210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8</v>
      </c>
      <c r="I36" s="211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9</v>
      </c>
      <c r="J36" s="211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2</v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Phragmites australis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1579</v>
      </c>
      <c r="Q36" s="216" t="n">
        <f aca="false">IF(ISTEXT(H36),"",(B36*$B$7/100)+(C36*$C$7/100))</f>
        <v>0.03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9</v>
      </c>
      <c r="T36" s="217" t="n">
        <f aca="false">IF(ISERROR(R36*I36*J36),0,R36*I36*J36)</f>
        <v>18</v>
      </c>
      <c r="U36" s="229" t="n">
        <f aca="false">IF(ISERROR(R36*J36),0,R36*J36)</f>
        <v>2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>PHRAUS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635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90</v>
      </c>
      <c r="B37" s="224" t="n">
        <v>0.5</v>
      </c>
      <c r="C37" s="225" t="n">
        <v>0.01</v>
      </c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Arundo donax</v>
      </c>
      <c r="E37" s="226" t="e">
        <f aca="false">IF(D37="",0,VLOOKUP(D37,D$22:D36,1,0))</f>
        <v>#N/A</v>
      </c>
      <c r="F37" s="231" t="n">
        <f aca="false">($B37*$B$7+$C37*$C$7)/100</f>
        <v>0.4853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PHg</v>
      </c>
      <c r="H37" s="210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9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Arundo donax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1551</v>
      </c>
      <c r="Q37" s="216" t="n">
        <f aca="false">IF(ISTEXT(H37),"",(B37*$B$7/100)+(C37*$C$7/100))</f>
        <v>0.4853</v>
      </c>
      <c r="R37" s="217" t="n">
        <f aca="false">IF(OR(ISTEXT(H37),Q37=0),"",IF(Q37&lt;0.1,1,IF(Q37&lt;1,2,IF(Q37&lt;10,3,IF(Q37&lt;50,4,IF(Q37&gt;=50,5,""))))))</f>
        <v>2</v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>ARUDON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698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91</v>
      </c>
      <c r="B38" s="224" t="n">
        <v>0</v>
      </c>
      <c r="C38" s="225" t="n">
        <v>0.01</v>
      </c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Urtica dioica</v>
      </c>
      <c r="E38" s="226" t="e">
        <f aca="false">IF(D38="",0,VLOOKUP(D38,D$22:D37,1,0))</f>
        <v>#N/A</v>
      </c>
      <c r="F38" s="231" t="n">
        <f aca="false">($B38*$B$7+$C38*$C$7)/100</f>
        <v>0.0003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PHg</v>
      </c>
      <c r="H38" s="210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9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Urtica dioica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2000</v>
      </c>
      <c r="Q38" s="216" t="n">
        <f aca="false">IF(ISTEXT(H38),"",(B38*$B$7/100)+(C38*$C$7/100))</f>
        <v>0.0003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>URTDIO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830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92</v>
      </c>
      <c r="B39" s="224" t="n">
        <v>0</v>
      </c>
      <c r="C39" s="225" t="n">
        <v>0.01</v>
      </c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0.0003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    -</v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Salix purpurea</v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No</v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>newcod</v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 t="s">
        <v>93</v>
      </c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92</v>
      </c>
      <c r="B40" s="224" t="n">
        <v>10</v>
      </c>
      <c r="C40" s="225" t="n">
        <v>0</v>
      </c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9.7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    -</v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Leptolyngbia sp.</v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No</v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>newcod</v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 t="s">
        <v>94</v>
      </c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JABRON</v>
      </c>
      <c r="B84" s="259" t="str">
        <f aca="false">C3</f>
        <v>Jabron à Montélimar</v>
      </c>
      <c r="C84" s="260" t="n">
        <f aca="false">A4</f>
        <v>41449</v>
      </c>
      <c r="D84" s="261" t="n">
        <f aca="false">IF(ISERROR(SUM($T$23:$T$82)/SUM($U$23:$U$82)),"",SUM($T$23:$T$82)/SUM($U$23:$U$82))</f>
        <v>9.34782608695652</v>
      </c>
      <c r="E84" s="262" t="n">
        <f aca="false">N13</f>
        <v>18</v>
      </c>
      <c r="F84" s="259" t="n">
        <f aca="false">N14</f>
        <v>12</v>
      </c>
      <c r="G84" s="259" t="n">
        <f aca="false">N15</f>
        <v>7</v>
      </c>
      <c r="H84" s="259" t="n">
        <f aca="false">N16</f>
        <v>5</v>
      </c>
      <c r="I84" s="259" t="n">
        <f aca="false">N17</f>
        <v>0</v>
      </c>
      <c r="J84" s="263" t="n">
        <f aca="false">N8</f>
        <v>9.66666666666667</v>
      </c>
      <c r="K84" s="261" t="n">
        <f aca="false">N9</f>
        <v>2.83823106098773</v>
      </c>
      <c r="L84" s="262" t="n">
        <f aca="false">N10</f>
        <v>4</v>
      </c>
      <c r="M84" s="262" t="n">
        <f aca="false">N11</f>
        <v>14</v>
      </c>
      <c r="N84" s="261" t="n">
        <f aca="false">O8</f>
        <v>1.41666666666667</v>
      </c>
      <c r="O84" s="261" t="n">
        <f aca="false">O9</f>
        <v>0.493006648591635</v>
      </c>
      <c r="P84" s="262" t="n">
        <f aca="false">O10</f>
        <v>1</v>
      </c>
      <c r="Q84" s="262" t="n">
        <f aca="false">O11</f>
        <v>2</v>
      </c>
      <c r="R84" s="262" t="n">
        <f aca="false">F21</f>
        <v>39.6977</v>
      </c>
      <c r="S84" s="262" t="n">
        <f aca="false">K11</f>
        <v>0</v>
      </c>
      <c r="T84" s="262" t="n">
        <f aca="false">K12</f>
        <v>4</v>
      </c>
      <c r="U84" s="262" t="n">
        <f aca="false">K13</f>
        <v>2</v>
      </c>
      <c r="V84" s="264" t="n">
        <f aca="false">K14</f>
        <v>1</v>
      </c>
      <c r="W84" s="265" t="n">
        <f aca="false">K15</f>
        <v>9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96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97</v>
      </c>
      <c r="R87" s="10"/>
      <c r="S87" s="218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98</v>
      </c>
      <c r="R88" s="10"/>
      <c r="S88" s="218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99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100</v>
      </c>
      <c r="R90" s="10"/>
      <c r="S90" s="268" t="n">
        <f aca="false">IF(ISERROR(SUM($T$23:$T$82)/SUM($U$23:$U$82)),"",(SUM($T$23:$T$82)-S88)/(SUM($U$23:$U$82)-S89))</f>
        <v>10.0526315789474</v>
      </c>
      <c r="T90" s="10"/>
    </row>
    <row r="91" customFormat="false" ht="12.75" hidden="false" customHeight="false" outlineLevel="0" collapsed="false">
      <c r="Q91" s="217" t="s">
        <v>101</v>
      </c>
      <c r="R91" s="217"/>
      <c r="S91" s="217" t="str">
        <f aca="false">INDEX('[1]liste reference'!$A$8:$A$904,$T$91)</f>
        <v>CLASPX</v>
      </c>
      <c r="T91" s="10" t="n">
        <f aca="false">IF(ISERROR(MATCH($S$93,'[1]liste reference'!$A$8:$A$904,0)),MATCH($S$93,'[1]liste reference'!$B$8:$B$904,0),(MATCH($S$93,'[1]liste reference'!$A$8:$A$904,0)))</f>
        <v>23</v>
      </c>
      <c r="U91" s="257"/>
    </row>
    <row r="92" customFormat="false" ht="12.75" hidden="false" customHeight="false" outlineLevel="0" collapsed="false">
      <c r="Q92" s="10" t="s">
        <v>102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103</v>
      </c>
      <c r="R93" s="10"/>
      <c r="S93" s="217" t="str">
        <f aca="false">INDEX($A$23:$A$82,$S$92)</f>
        <v>CLASPX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2014-02-05T18:27:11Z</dcterms:created>
  <dc:creator>Laurent Bourgoin</dc:creator>
  <dc:description/>
  <dc:language>fr-FR</dc:language>
  <cp:lastModifiedBy>Laurent Bourgoin</cp:lastModifiedBy>
  <dcterms:modified xsi:type="dcterms:W3CDTF">2014-02-05T18:27:23Z</dcterms:modified>
  <cp:revision>0</cp:revision>
  <dc:subject/>
  <dc:title/>
</cp:coreProperties>
</file>