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<sst xmlns="http://schemas.openxmlformats.org/spreadsheetml/2006/main" count="111" uniqueCount="105">
  <si>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</si>
  <si>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</si>
  <si>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</si>
  <si>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CBERNARD</t>
  </si>
  <si>
    <t xml:space="preserve">conforme AFNOR T90-395 oct. 2003</t>
  </si>
  <si>
    <t xml:space="preserve">DROME</t>
  </si>
  <si>
    <t xml:space="preserve">Drôme à Chabrillan</t>
  </si>
  <si>
    <t xml:space="preserve">06580437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</si>
  <si>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</si>
  <si>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</si>
  <si>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</si>
  <si>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</si>
  <si>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</si>
  <si>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</si>
  <si>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</si>
  <si>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</si>
  <si>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</si>
  <si>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</si>
  <si>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</si>
  <si>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</si>
  <si>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</si>
  <si>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</si>
  <si>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</si>
  <si>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</si>
  <si>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</si>
  <si>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</si>
  <si>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</si>
  <si>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</si>
  <si>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</si>
  <si>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</si>
  <si>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</si>
  <si>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</si>
  <si>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</si>
  <si>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</si>
  <si>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</si>
  <si>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</si>
  <si>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</si>
  <si>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</si>
  <si>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</si>
  <si>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</si>
  <si>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</si>
  <si>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</si>
  <si>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</si>
  <si>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</si>
  <si>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</si>
  <si>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</si>
  <si>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</si>
  <si>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</si>
  <si>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</si>
  <si>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</si>
  <si>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</si>
  <si>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</si>
  <si>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</si>
  <si>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</si>
  <si>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</si>
  <si>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</si>
  <si>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</si>
  <si>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</si>
  <si>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</si>
  <si>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</si>
  <si>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</si>
  <si>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</si>
  <si>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</si>
  <si>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</si>
  <si>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</si>
  <si>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</si>
  <si>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</si>
  <si>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</si>
  <si>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</si>
  <si>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</si>
  <si>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</si>
  <si>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</si>
  <si>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</si>
  <si>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</si>
  <si>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</si>
  <si>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</si>
  <si>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</si>
  <si>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</si>
  <si>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</si>
  <si>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MELSPX</t>
  </si>
  <si>
    <t xml:space="preserve">NOSSPX</t>
  </si>
  <si>
    <t xml:space="preserve">PHOSPX</t>
  </si>
  <si>
    <t xml:space="preserve">SPISPX</t>
  </si>
  <si>
    <t xml:space="preserve">STISPX</t>
  </si>
  <si>
    <t xml:space="preserve">ULOSPX</t>
  </si>
  <si>
    <t xml:space="preserve">VAUSPX</t>
  </si>
  <si>
    <t xml:space="preserve">AMBRIP</t>
  </si>
  <si>
    <t xml:space="preserve">BRARIV</t>
  </si>
  <si>
    <t xml:space="preserve">CINRIP</t>
  </si>
  <si>
    <t xml:space="preserve">FONANT</t>
  </si>
  <si>
    <t xml:space="preserve">RHYRIP</t>
  </si>
  <si>
    <t xml:space="preserve">GLYFLU</t>
  </si>
  <si>
    <t xml:space="preserve">VERANA</t>
  </si>
  <si>
    <t xml:space="preserve">newcod</t>
  </si>
  <si>
    <t xml:space="preserve">Gomphoneis sp.</t>
  </si>
  <si>
    <t xml:space="preserve">autres diatomées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</si>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</sst>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DROCHA_25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41450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11.0571428571429</v>
      </c>
      <c r="M5" s="53"/>
      <c r="N5" s="54" t="s">
        <v>16</v>
      </c>
      <c r="O5" s="55" t="n">
        <v>10.7777777777778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93</v>
      </c>
      <c r="C7" s="67" t="n">
        <v>7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10.4375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35.5</v>
      </c>
      <c r="C9" s="87" t="n">
        <v>15.83</v>
      </c>
      <c r="D9" s="88"/>
      <c r="E9" s="88"/>
      <c r="F9" s="89" t="n">
        <f aca="false">($B9*$B$7+$C9*$C$7)/100</f>
        <v>34.1231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3.08157325890526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35.5</v>
      </c>
      <c r="C12" s="119" t="n">
        <v>12.8</v>
      </c>
      <c r="D12" s="111"/>
      <c r="E12" s="111"/>
      <c r="F12" s="112" t="n">
        <f aca="false">($B12*$B$7+$C12*$C$7)/100</f>
        <v>33.911</v>
      </c>
      <c r="G12" s="120"/>
      <c r="H12" s="68"/>
      <c r="I12" s="121" t="s">
        <v>39</v>
      </c>
      <c r="J12" s="121"/>
      <c r="K12" s="115" t="n">
        <f aca="false">COUNTIF($G$23:$G$82,"=ALG")</f>
        <v>9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0.01</v>
      </c>
      <c r="C13" s="119" t="n">
        <v>3.01</v>
      </c>
      <c r="D13" s="111"/>
      <c r="E13" s="111"/>
      <c r="F13" s="112" t="n">
        <f aca="false">($B13*$B$7+$C13*$C$7)/100</f>
        <v>0.22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18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0.02</v>
      </c>
      <c r="D15" s="111"/>
      <c r="E15" s="111"/>
      <c r="F15" s="112" t="n">
        <f aca="false">($B15*$B$7+$C15*$C$7)/100</f>
        <v>0.0014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48</v>
      </c>
      <c r="N15" s="138" t="n">
        <f aca="false">COUNTIF(J23:J82,"=1")</f>
        <v>8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8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35.51</v>
      </c>
      <c r="C17" s="119" t="n">
        <v>15.81</v>
      </c>
      <c r="D17" s="111"/>
      <c r="E17" s="111"/>
      <c r="F17" s="143"/>
      <c r="G17" s="112" t="n">
        <f aca="false">($B17*$B$7+$C17*$C$7)/100</f>
        <v>34.131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0.02</v>
      </c>
      <c r="D18" s="111"/>
      <c r="E18" s="147" t="s">
        <v>54</v>
      </c>
      <c r="F18" s="143"/>
      <c r="G18" s="112" t="n">
        <f aca="false">($B18*$B$7+$C18*$C$7)/100</f>
        <v>0.0014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34.1324</v>
      </c>
      <c r="G19" s="156" t="n">
        <f aca="false">SUM(G16:G18)</f>
        <v>34.1324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35.55</v>
      </c>
      <c r="C20" s="166" t="n">
        <f aca="false">SUM(C23:C82)</f>
        <v>15.83</v>
      </c>
      <c r="D20" s="167"/>
      <c r="E20" s="168" t="s">
        <v>54</v>
      </c>
      <c r="F20" s="169" t="n">
        <f aca="false">($B20*$B$7+$C20*$C$7)/100</f>
        <v>34.1696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33.0615</v>
      </c>
      <c r="C21" s="179" t="n">
        <f aca="false">C20*C7/100</f>
        <v>1.1081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34.1696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0.5</v>
      </c>
      <c r="C23" s="206" t="n">
        <v>1.96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0.6022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0.6022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12</v>
      </c>
      <c r="T23" s="217" t="n">
        <f aca="false">IF(ISERROR(R23*I23*J23),0,R23*I23*J23)</f>
        <v>12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16</v>
      </c>
      <c r="B24" s="224" t="n">
        <v>10.5</v>
      </c>
      <c r="C24" s="225" t="n">
        <v>5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Diatoma sp.</v>
      </c>
      <c r="E24" s="226" t="e">
        <f aca="false">IF(D24="",0,VLOOKUP(D24,D$22:D23,1,0))</f>
        <v>#N/A</v>
      </c>
      <c r="F24" s="227" t="n">
        <f aca="false">($B24*$B$7+$C24*$C$7)/100</f>
        <v>10.115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Diatoma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6" t="n">
        <f aca="false">IF(ISTEXT(H24),"",(B24*$B$7/100)+(C24*$C$7/100))</f>
        <v>10.115</v>
      </c>
      <c r="R24" s="217" t="n">
        <f aca="false">IF(OR(ISTEXT(H24),Q24=0),"",IF(Q24&lt;0.1,1,IF(Q24&lt;1,2,IF(Q24&lt;10,3,IF(Q24&lt;50,4,IF(Q24&gt;=50,5,""))))))</f>
        <v>4</v>
      </c>
      <c r="S24" s="217" t="n">
        <f aca="false">IF(ISERROR(R24*I24),0,R24*I24)</f>
        <v>48</v>
      </c>
      <c r="T24" s="217" t="n">
        <f aca="false">IF(ISERROR(R24*I24*J24),0,R24*I24*J24)</f>
        <v>96</v>
      </c>
      <c r="U24" s="229" t="n">
        <f aca="false">IF(ISERROR(R24*J24),0,R24*J24)</f>
        <v>8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DIASPX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</v>
      </c>
      <c r="C25" s="225" t="n">
        <v>2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Melosira sp.</v>
      </c>
      <c r="E25" s="226" t="e">
        <f aca="false">IF(D25="",0,VLOOKUP(D25,D$22:D24,1,0))</f>
        <v>#N/A</v>
      </c>
      <c r="F25" s="227" t="n">
        <f aca="false">($B25*$B$7+$C25*$C$7)/100</f>
        <v>0.14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10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Melosira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8714</v>
      </c>
      <c r="Q25" s="216" t="n">
        <f aca="false">IF(ISTEXT(H25),"",(B25*$B$7/100)+(C25*$C$7/100))</f>
        <v>0.14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20</v>
      </c>
      <c r="T25" s="217" t="n">
        <f aca="false">IF(ISERROR(R25*I25*J25),0,R25*I25*J25)</f>
        <v>20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MELSPX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36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0.01</v>
      </c>
      <c r="C26" s="225" t="n">
        <v>0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Nostoc sp.</v>
      </c>
      <c r="E26" s="226" t="e">
        <f aca="false">IF(D26="",0,VLOOKUP(D26,D$22:D25,1,0))</f>
        <v>#N/A</v>
      </c>
      <c r="F26" s="227" t="n">
        <f aca="false">($B26*$B$7+$C26*$C$7)/100</f>
        <v>0.0093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9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Nostoc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1105</v>
      </c>
      <c r="Q26" s="216" t="n">
        <f aca="false">IF(ISTEXT(H26),"",(B26*$B$7/100)+(C26*$C$7/100))</f>
        <v>0.0093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9</v>
      </c>
      <c r="T26" s="217" t="n">
        <f aca="false">IF(ISERROR(R26*I26*J26),0,R26*I26*J26)</f>
        <v>9</v>
      </c>
      <c r="U26" s="229" t="n">
        <f aca="false">IF(ISERROR(R26*J26),0,R26*J26)</f>
        <v>1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NOSSPX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54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0.01</v>
      </c>
      <c r="C27" s="225" t="n">
        <v>0.8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Phormidium sp.</v>
      </c>
      <c r="E27" s="226" t="e">
        <f aca="false">IF(D27="",0,VLOOKUP(D27,D$22:D26,1,0))</f>
        <v>#N/A</v>
      </c>
      <c r="F27" s="227" t="n">
        <f aca="false">($B27*$B$7+$C27*$C$7)/100</f>
        <v>0.0653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13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Phormidium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6414</v>
      </c>
      <c r="Q27" s="216" t="n">
        <f aca="false">IF(ISTEXT(H27),"",(B27*$B$7/100)+(C27*$C$7/100))</f>
        <v>0.0653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13</v>
      </c>
      <c r="T27" s="217" t="n">
        <f aca="false">IF(ISERROR(R27*I27*J27),0,R27*I27*J27)</f>
        <v>26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PHOSPX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57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</v>
      </c>
      <c r="C28" s="225" t="n">
        <v>0.22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Spirogyra sp.</v>
      </c>
      <c r="E28" s="226" t="e">
        <f aca="false">IF(D28="",0,VLOOKUP(D28,D$22:D27,1,0))</f>
        <v>#N/A</v>
      </c>
      <c r="F28" s="227" t="n">
        <f aca="false">($B28*$B$7+$C28*$C$7)/100</f>
        <v>0.0154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Spirogyra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1147</v>
      </c>
      <c r="Q28" s="216" t="n">
        <f aca="false">IF(ISTEXT(H28),"",(B28*$B$7/100)+(C28*$C$7/100))</f>
        <v>0.0154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10</v>
      </c>
      <c r="T28" s="217" t="n">
        <f aca="false">IF(ISERROR(R28*I28*J28),0,R28*I28*J28)</f>
        <v>10</v>
      </c>
      <c r="U28" s="229" t="n">
        <f aca="false">IF(ISERROR(R28*J28),0,R28*J28)</f>
        <v>1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SPISPX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69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</v>
      </c>
      <c r="C29" s="225" t="n">
        <v>0.3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Stigeoclonium sp.</v>
      </c>
      <c r="E29" s="226" t="e">
        <f aca="false">IF(D29="",0,VLOOKUP(D29,D$22:D28,1,0))</f>
        <v>#N/A</v>
      </c>
      <c r="F29" s="227" t="n">
        <f aca="false">($B29*$B$7+$C29*$C$7)/100</f>
        <v>0.021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2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13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Stigeoclonium sp.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1119</v>
      </c>
      <c r="Q29" s="216" t="n">
        <f aca="false">IF(ISTEXT(H29),"",(B29*$B$7/100)+(C29*$C$7/100))</f>
        <v>0.021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13</v>
      </c>
      <c r="T29" s="217" t="n">
        <f aca="false">IF(ISERROR(R29*I29*J29),0,R29*I29*J29)</f>
        <v>26</v>
      </c>
      <c r="U29" s="229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STISPX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71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</v>
      </c>
      <c r="C30" s="225" t="n">
        <v>2.52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Ulothrix sp.</v>
      </c>
      <c r="E30" s="226" t="e">
        <f aca="false">IF(D30="",0,VLOOKUP(D30,D$22:D29,1,0))</f>
        <v>#N/A</v>
      </c>
      <c r="F30" s="227" t="n">
        <f aca="false">($B30*$B$7+$C30*$C$7)/100</f>
        <v>0.1764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ALG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2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Ulothrix sp.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1142</v>
      </c>
      <c r="Q30" s="216" t="n">
        <f aca="false">IF(ISTEXT(H30),"",(B30*$B$7/100)+(C30*$C$7/100))</f>
        <v>0.1764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20</v>
      </c>
      <c r="T30" s="217" t="n">
        <f aca="false">IF(ISERROR(R30*I30*J30),0,R30*I30*J30)</f>
        <v>20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ULOSPX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81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0.01</v>
      </c>
      <c r="C31" s="225" t="n">
        <v>0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Vaucheria sp.</v>
      </c>
      <c r="E31" s="226" t="e">
        <f aca="false">IF(D31="",0,VLOOKUP(D31,D$22:D30,1,0))</f>
        <v>#N/A</v>
      </c>
      <c r="F31" s="227" t="n">
        <f aca="false">($B31*$B$7+$C31*$C$7)/100</f>
        <v>0.0093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ALG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2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4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Vaucheria sp.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6193</v>
      </c>
      <c r="Q31" s="216" t="n">
        <f aca="false">IF(ISTEXT(H31),"",(B31*$B$7/100)+(C31*$C$7/100))</f>
        <v>0.0093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4</v>
      </c>
      <c r="T31" s="217" t="n">
        <f aca="false">IF(ISERROR(R31*I31*J31),0,R31*I31*J31)</f>
        <v>4</v>
      </c>
      <c r="U31" s="229" t="n">
        <f aca="false">IF(ISERROR(R31*J31),0,R31*J31)</f>
        <v>1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VAUSPX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82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</v>
      </c>
      <c r="C32" s="225" t="n">
        <v>0.4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Amblystegium riparium</v>
      </c>
      <c r="E32" s="226" t="e">
        <f aca="false">IF(D32="",0,VLOOKUP(D32,D$22:D31,1,0))</f>
        <v>#N/A</v>
      </c>
      <c r="F32" s="227" t="n">
        <f aca="false">($B32*$B$7+$C32*$C$7)/100</f>
        <v>0.028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5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2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Amblystegium riparium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1219</v>
      </c>
      <c r="Q32" s="216" t="n">
        <f aca="false">IF(ISTEXT(H32),"",(B32*$B$7/100)+(C32*$C$7/100))</f>
        <v>0.028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5</v>
      </c>
      <c r="T32" s="217" t="n">
        <f aca="false">IF(ISERROR(R32*I32*J32),0,R32*I32*J32)</f>
        <v>10</v>
      </c>
      <c r="U32" s="229" t="n">
        <f aca="false">IF(ISERROR(R32*J32),0,R32*J32)</f>
        <v>2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AMBRIP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148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24" t="n">
        <v>0</v>
      </c>
      <c r="C33" s="225" t="n">
        <v>0.1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Brachythecium rivulare</v>
      </c>
      <c r="E33" s="226" t="e">
        <f aca="false">IF(D33="",0,VLOOKUP(D33,D$22:D32,1,0))</f>
        <v>#N/A</v>
      </c>
      <c r="F33" s="227" t="n">
        <f aca="false">($B33*$B$7+$C33*$C$7)/100</f>
        <v>0.007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15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Brachythecium rivulare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1260</v>
      </c>
      <c r="Q33" s="216" t="n">
        <f aca="false">IF(ISTEXT(H33),"",(B33*$B$7/100)+(C33*$C$7/100))</f>
        <v>0.007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15</v>
      </c>
      <c r="T33" s="217" t="n">
        <f aca="false">IF(ISERROR(R33*I33*J33),0,R33*I33*J33)</f>
        <v>30</v>
      </c>
      <c r="U33" s="229" t="n">
        <f aca="false">IF(ISERROR(R33*J33),0,R33*J33)</f>
        <v>2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BRARIV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155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88</v>
      </c>
      <c r="B34" s="224" t="n">
        <v>0.01</v>
      </c>
      <c r="C34" s="225" t="n">
        <v>1.5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Cinclidotus riparius</v>
      </c>
      <c r="E34" s="226" t="e">
        <f aca="false">IF(D34="",0,VLOOKUP(D34,D$22:D33,1,0))</f>
        <v>#N/A</v>
      </c>
      <c r="F34" s="231" t="n">
        <f aca="false">($B34*$B$7+$C34*$C$7)/100</f>
        <v>0.1143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BRm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5</v>
      </c>
      <c r="I34" s="211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13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2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Cinclidotus riparius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1321</v>
      </c>
      <c r="Q34" s="216" t="n">
        <f aca="false">IF(ISTEXT(H34),"",(B34*$B$7/100)+(C34*$C$7/100))</f>
        <v>0.1143</v>
      </c>
      <c r="R34" s="217" t="n">
        <f aca="false">IF(OR(ISTEXT(H34),Q34=0),"",IF(Q34&lt;0.1,1,IF(Q34&lt;1,2,IF(Q34&lt;10,3,IF(Q34&lt;50,4,IF(Q34&gt;=50,5,""))))))</f>
        <v>2</v>
      </c>
      <c r="S34" s="217" t="n">
        <f aca="false">IF(ISERROR(R34*I34),0,R34*I34)</f>
        <v>26</v>
      </c>
      <c r="T34" s="217" t="n">
        <f aca="false">IF(ISERROR(R34*I34*J34),0,R34*I34*J34)</f>
        <v>52</v>
      </c>
      <c r="U34" s="229" t="n">
        <f aca="false">IF(ISERROR(R34*J34),0,R34*J34)</f>
        <v>4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CINRIP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174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89</v>
      </c>
      <c r="B35" s="224" t="n">
        <v>0</v>
      </c>
      <c r="C35" s="225" t="n">
        <v>1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Fontinalis antipyretica</v>
      </c>
      <c r="E35" s="226" t="e">
        <f aca="false">IF(D35="",0,VLOOKUP(D35,D$22:D34,1,0))</f>
        <v>#N/A</v>
      </c>
      <c r="F35" s="231" t="n">
        <f aca="false">($B35*$B$7+$C35*$C$7)/100</f>
        <v>0.07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BRm</v>
      </c>
      <c r="H35" s="210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5</v>
      </c>
      <c r="I35" s="211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10</v>
      </c>
      <c r="J35" s="211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Fontinalis antipyretica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1310</v>
      </c>
      <c r="Q35" s="216" t="n">
        <f aca="false">IF(ISTEXT(H35),"",(B35*$B$7/100)+(C35*$C$7/100))</f>
        <v>0.07</v>
      </c>
      <c r="R35" s="217" t="n">
        <f aca="false">IF(OR(ISTEXT(H35),Q35=0),"",IF(Q35&lt;0.1,1,IF(Q35&lt;1,2,IF(Q35&lt;10,3,IF(Q35&lt;50,4,IF(Q35&gt;=50,5,""))))))</f>
        <v>1</v>
      </c>
      <c r="S35" s="217" t="n">
        <f aca="false">IF(ISERROR(R35*I35),0,R35*I35)</f>
        <v>10</v>
      </c>
      <c r="T35" s="217" t="n">
        <f aca="false">IF(ISERROR(R35*I35*J35),0,R35*I35*J35)</f>
        <v>10</v>
      </c>
      <c r="U35" s="229" t="n">
        <f aca="false">IF(ISERROR(R35*J35),0,R35*J35)</f>
        <v>1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FONANT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210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90</v>
      </c>
      <c r="B36" s="224" t="n">
        <v>0.01</v>
      </c>
      <c r="C36" s="225" t="n">
        <v>0.01</v>
      </c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Rhynchostegium riparioides</v>
      </c>
      <c r="E36" s="226" t="e">
        <f aca="false">IF(D36="",0,VLOOKUP(D36,D$22:D35,1,0))</f>
        <v>#N/A</v>
      </c>
      <c r="F36" s="231" t="n">
        <f aca="false">($B36*$B$7+$C36*$C$7)/100</f>
        <v>0.01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BRm</v>
      </c>
      <c r="H36" s="210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5</v>
      </c>
      <c r="I36" s="211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12</v>
      </c>
      <c r="J36" s="211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1</v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Rhynchostegium riparioides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1268</v>
      </c>
      <c r="Q36" s="216" t="n">
        <f aca="false">IF(ISTEXT(H36),"",(B36*$B$7/100)+(C36*$C$7/100))</f>
        <v>0.01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12</v>
      </c>
      <c r="T36" s="217" t="n">
        <f aca="false">IF(ISERROR(R36*I36*J36),0,R36*I36*J36)</f>
        <v>12</v>
      </c>
      <c r="U36" s="229" t="n">
        <f aca="false">IF(ISERROR(R36*J36),0,R36*J36)</f>
        <v>1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>RHYRIP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252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91</v>
      </c>
      <c r="B37" s="224" t="n">
        <v>0</v>
      </c>
      <c r="C37" s="225" t="n">
        <v>0.01</v>
      </c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Glyceria fluitans</v>
      </c>
      <c r="E37" s="226" t="e">
        <f aca="false">IF(D37="",0,VLOOKUP(D37,D$22:D36,1,0))</f>
        <v>#N/A</v>
      </c>
      <c r="F37" s="231" t="n">
        <f aca="false">($B37*$B$7+$C37*$C$7)/100</f>
        <v>0.0007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PHe</v>
      </c>
      <c r="H37" s="210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8</v>
      </c>
      <c r="I37" s="211" t="n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>14</v>
      </c>
      <c r="J37" s="211" t="n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>2</v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Glyceria fluitans</v>
      </c>
      <c r="L37" s="228"/>
      <c r="M37" s="228"/>
      <c r="N37" s="228"/>
      <c r="O37" s="214"/>
      <c r="P37" s="215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1564</v>
      </c>
      <c r="Q37" s="216" t="n">
        <f aca="false">IF(ISTEXT(H37),"",(B37*$B$7/100)+(C37*$C$7/100))</f>
        <v>0.0007</v>
      </c>
      <c r="R37" s="217" t="n">
        <f aca="false">IF(OR(ISTEXT(H37),Q37=0),"",IF(Q37&lt;0.1,1,IF(Q37&lt;1,2,IF(Q37&lt;10,3,IF(Q37&lt;50,4,IF(Q37&gt;=50,5,""))))))</f>
        <v>1</v>
      </c>
      <c r="S37" s="217" t="n">
        <f aca="false">IF(ISERROR(R37*I37),0,R37*I37)</f>
        <v>14</v>
      </c>
      <c r="T37" s="217" t="n">
        <f aca="false">IF(ISERROR(R37*I37*J37),0,R37*I37*J37)</f>
        <v>28</v>
      </c>
      <c r="U37" s="229" t="n">
        <f aca="false">IF(ISERROR(R37*J37),0,R37*J37)</f>
        <v>2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>GLYFLU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575</v>
      </c>
      <c r="AA37" s="221"/>
      <c r="AB37" s="222"/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92</v>
      </c>
      <c r="B38" s="224" t="n">
        <v>0</v>
      </c>
      <c r="C38" s="225" t="n">
        <v>0.01</v>
      </c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Veronica anagallis-aquatica</v>
      </c>
      <c r="E38" s="226" t="e">
        <f aca="false">IF(D38="",0,VLOOKUP(D38,D$22:D37,1,0))</f>
        <v>#N/A</v>
      </c>
      <c r="F38" s="231" t="n">
        <f aca="false">($B38*$B$7+$C38*$C$7)/100</f>
        <v>0.0007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PHe</v>
      </c>
      <c r="H38" s="210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8</v>
      </c>
      <c r="I38" s="211" t="n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>11</v>
      </c>
      <c r="J38" s="211" t="n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>2</v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Veronica anagallis-aquatica</v>
      </c>
      <c r="L38" s="228"/>
      <c r="M38" s="228"/>
      <c r="N38" s="228"/>
      <c r="O38" s="214"/>
      <c r="P38" s="215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1955</v>
      </c>
      <c r="Q38" s="216" t="n">
        <f aca="false">IF(ISTEXT(H38),"",(B38*$B$7/100)+(C38*$C$7/100))</f>
        <v>0.0007</v>
      </c>
      <c r="R38" s="217" t="n">
        <f aca="false">IF(OR(ISTEXT(H38),Q38=0),"",IF(Q38&lt;0.1,1,IF(Q38&lt;1,2,IF(Q38&lt;10,3,IF(Q38&lt;50,4,IF(Q38&gt;=50,5,""))))))</f>
        <v>1</v>
      </c>
      <c r="S38" s="217" t="n">
        <f aca="false">IF(ISERROR(R38*I38),0,R38*I38)</f>
        <v>11</v>
      </c>
      <c r="T38" s="217" t="n">
        <f aca="false">IF(ISERROR(R38*I38*J38),0,R38*I38*J38)</f>
        <v>22</v>
      </c>
      <c r="U38" s="229" t="n">
        <f aca="false">IF(ISERROR(R38*J38),0,R38*J38)</f>
        <v>2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>VERANA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682</v>
      </c>
      <c r="AA38" s="221"/>
      <c r="AB38" s="222"/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 t="s">
        <v>93</v>
      </c>
      <c r="B39" s="224" t="n">
        <v>3.5</v>
      </c>
      <c r="C39" s="225" t="n">
        <v>0</v>
      </c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3.255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    -</v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Gomphoneis sp.</v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No</v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>newcod</v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 t="s">
        <v>94</v>
      </c>
      <c r="AC39" s="222"/>
      <c r="BB39" s="10" t="n">
        <f aca="false">IF(A39="","",1)</f>
        <v>1</v>
      </c>
    </row>
    <row r="40" customFormat="false" ht="12.75" hidden="false" customHeight="false" outlineLevel="0" collapsed="false">
      <c r="A40" s="223" t="s">
        <v>93</v>
      </c>
      <c r="B40" s="224" t="n">
        <v>21</v>
      </c>
      <c r="C40" s="225" t="n">
        <v>0</v>
      </c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19.53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    -</v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autres diatomées</v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No</v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>newcod</v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 t="s">
        <v>95</v>
      </c>
      <c r="AC40" s="222"/>
      <c r="BB40" s="10" t="n">
        <f aca="false">IF(A40="","",1)</f>
        <v>1</v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DROME</v>
      </c>
      <c r="B84" s="259" t="str">
        <f aca="false">C3</f>
        <v>Drôme à Chabrillan</v>
      </c>
      <c r="C84" s="260" t="n">
        <f aca="false">A4</f>
        <v>41450</v>
      </c>
      <c r="D84" s="261" t="n">
        <f aca="false">IF(ISERROR(SUM($T$23:$T$82)/SUM($U$23:$U$82)),"",SUM($T$23:$T$82)/SUM($U$23:$U$82))</f>
        <v>11.0571428571429</v>
      </c>
      <c r="E84" s="262" t="n">
        <f aca="false">N13</f>
        <v>18</v>
      </c>
      <c r="F84" s="259" t="n">
        <f aca="false">N14</f>
        <v>16</v>
      </c>
      <c r="G84" s="259" t="n">
        <f aca="false">N15</f>
        <v>8</v>
      </c>
      <c r="H84" s="259" t="n">
        <f aca="false">N16</f>
        <v>8</v>
      </c>
      <c r="I84" s="259" t="n">
        <f aca="false">N17</f>
        <v>0</v>
      </c>
      <c r="J84" s="263" t="n">
        <f aca="false">N8</f>
        <v>10.4375</v>
      </c>
      <c r="K84" s="261" t="n">
        <f aca="false">N9</f>
        <v>3.08157325890526</v>
      </c>
      <c r="L84" s="262" t="n">
        <f aca="false">N10</f>
        <v>4</v>
      </c>
      <c r="M84" s="262" t="n">
        <f aca="false">N11</f>
        <v>15</v>
      </c>
      <c r="N84" s="261" t="n">
        <f aca="false">O8</f>
        <v>1.5</v>
      </c>
      <c r="O84" s="261" t="n">
        <f aca="false">O9</f>
        <v>0.5</v>
      </c>
      <c r="P84" s="262" t="n">
        <f aca="false">O10</f>
        <v>1</v>
      </c>
      <c r="Q84" s="262" t="n">
        <f aca="false">O11</f>
        <v>2</v>
      </c>
      <c r="R84" s="262" t="n">
        <f aca="false">F21</f>
        <v>34.1696</v>
      </c>
      <c r="S84" s="262" t="n">
        <f aca="false">K11</f>
        <v>0</v>
      </c>
      <c r="T84" s="262" t="n">
        <f aca="false">K12</f>
        <v>9</v>
      </c>
      <c r="U84" s="262" t="n">
        <f aca="false">K13</f>
        <v>5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97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98</v>
      </c>
      <c r="R87" s="10"/>
      <c r="S87" s="218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99</v>
      </c>
      <c r="R88" s="10"/>
      <c r="S88" s="218" t="n">
        <f aca="false">VLOOKUP((S87),($S$23:$U$82),2,0)</f>
        <v>96</v>
      </c>
      <c r="T88" s="10"/>
      <c r="U88" s="10"/>
      <c r="V88" s="10"/>
    </row>
    <row r="89" customFormat="false" ht="12.75" hidden="true" customHeight="false" outlineLevel="0" collapsed="false">
      <c r="Q89" s="10" t="s">
        <v>100</v>
      </c>
      <c r="R89" s="10"/>
      <c r="S89" s="218" t="n">
        <f aca="false">VLOOKUP((S87),($S$23:$U$82),3,0)</f>
        <v>8</v>
      </c>
      <c r="T89" s="10"/>
    </row>
    <row r="90" customFormat="false" ht="12.75" hidden="false" customHeight="false" outlineLevel="0" collapsed="false">
      <c r="Q90" s="10" t="s">
        <v>101</v>
      </c>
      <c r="R90" s="10"/>
      <c r="S90" s="268" t="n">
        <f aca="false">IF(ISERROR(SUM($T$23:$T$82)/SUM($U$23:$U$82)),"",(SUM($T$23:$T$82)-S88)/(SUM($U$23:$U$82)-S89))</f>
        <v>10.7777777777778</v>
      </c>
      <c r="T90" s="10"/>
    </row>
    <row r="91" customFormat="false" ht="12.75" hidden="false" customHeight="false" outlineLevel="0" collapsed="false">
      <c r="Q91" s="217" t="s">
        <v>102</v>
      </c>
      <c r="R91" s="217"/>
      <c r="S91" s="217" t="str">
        <f aca="false">INDEX('[1]liste reference'!$A$8:$A$904,$T$91)</f>
        <v>DIASPX</v>
      </c>
      <c r="T91" s="10" t="n">
        <f aca="false">IF(ISERROR(MATCH($S$93,'[1]liste reference'!$A$8:$A$904,0)),MATCH($S$93,'[1]liste reference'!$B$8:$B$904,0),(MATCH($S$93,'[1]liste reference'!$A$8:$A$904,0)))</f>
        <v>26</v>
      </c>
      <c r="U91" s="257"/>
    </row>
    <row r="92" customFormat="false" ht="12.75" hidden="false" customHeight="false" outlineLevel="0" collapsed="false">
      <c r="Q92" s="10" t="s">
        <v>103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7" t="s">
        <v>104</v>
      </c>
      <c r="R93" s="10"/>
      <c r="S93" s="217" t="str">
        <f aca="false">INDEX($A$23:$A$82,$S$92)</f>
        <v>DIASPX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2013-12-12T17:33:41Z</dcterms:created>
  <dc:creator>li</dc:creator>
  <dc:description/>
  <dc:language>fr-FR</dc:language>
  <cp:lastModifiedBy>li</cp:lastModifiedBy>
  <dcterms:modified xsi:type="dcterms:W3CDTF">2013-12-12T17:33:46Z</dcterms:modified>
  <cp:revision>0</cp:revision>
  <dc:subject/>
  <dc:title/>
</cp:coreProperties>
</file>