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<sst xmlns="http://schemas.openxmlformats.org/spreadsheetml/2006/main" count="96" uniqueCount="91">
  <si>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</si>
  <si>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</si>
  <si>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</si>
  <si>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LISEBE LBOURGOIN</t>
  </si>
  <si>
    <t xml:space="preserve">conforme AFNOR T90-395 oct. 2003</t>
  </si>
  <si>
    <t xml:space="preserve">SIERRE</t>
  </si>
  <si>
    <t xml:space="preserve">SIERRE A MONTCEL</t>
  </si>
  <si>
    <t xml:space="preserve">06580822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</si>
  <si>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</si>
  <si>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</si>
  <si>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</si>
  <si>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</si>
  <si>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</si>
  <si>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</si>
  <si>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</si>
  <si>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</si>
  <si>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</si>
  <si>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</si>
  <si>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</si>
  <si>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 lentique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</si>
  <si>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</si>
  <si>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</si>
  <si>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</si>
  <si>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</si>
  <si>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</si>
  <si>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</si>
  <si>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</si>
  <si>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</si>
  <si>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</si>
  <si>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</si>
  <si>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</si>
  <si>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</si>
  <si>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</si>
  <si>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</si>
  <si>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</si>
  <si>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</si>
  <si>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</si>
  <si>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</si>
  <si>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</si>
  <si>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</si>
  <si>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</si>
  <si>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</si>
  <si>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</si>
  <si>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</si>
  <si>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</si>
  <si>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</si>
  <si>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</si>
  <si>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</si>
  <si>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</si>
  <si>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</si>
  <si>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</si>
  <si>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</si>
  <si>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</si>
  <si>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</si>
  <si>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</si>
  <si>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</si>
  <si>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</si>
  <si>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</si>
  <si>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</si>
  <si>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</si>
  <si>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</si>
  <si>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</si>
  <si>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</si>
  <si>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</si>
  <si>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</si>
  <si>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</si>
  <si>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</si>
  <si>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</si>
  <si>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</si>
  <si>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</si>
  <si>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</si>
  <si>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</si>
  <si>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</si>
  <si>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</si>
  <si>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</si>
  <si>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</si>
  <si>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</si>
  <si>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</si>
  <si>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PHOSPX</t>
  </si>
  <si>
    <t xml:space="preserve">JUGATR</t>
  </si>
  <si>
    <t xml:space="preserve">CINSPX</t>
  </si>
  <si>
    <t xml:space="preserve">CRACOM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</si>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</sst>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SIEMO_02-07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41822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15.2222222222222</v>
      </c>
      <c r="M5" s="53"/>
      <c r="N5" s="54" t="s">
        <v>16</v>
      </c>
      <c r="O5" s="55" t="n">
        <v>16.1428571428571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14.75</v>
      </c>
      <c r="O8" s="84" t="n">
        <f aca="false">IF(ISERROR(AVERAGE(J23:J82)),"      -",AVERAGE(J23:J82))</f>
        <v>2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1.06</v>
      </c>
      <c r="C9" s="87" t="n">
        <v>0.73</v>
      </c>
      <c r="D9" s="88"/>
      <c r="E9" s="88"/>
      <c r="F9" s="89" t="n">
        <f aca="false">($B9*$B$7+$C9*$C$7)/100</f>
        <v>1.027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2.6809513236909</v>
      </c>
      <c r="O9" s="84" t="n">
        <f aca="false">IF(ISERROR(STDEVP(J23:J82)),"      -",STDEVP(J23:J82))</f>
        <v>0.707106781186548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8" t="s">
        <v>32</v>
      </c>
      <c r="D10" s="99"/>
      <c r="E10" s="99"/>
      <c r="F10" s="89"/>
      <c r="G10" s="90"/>
      <c r="H10" s="100"/>
      <c r="I10" s="101"/>
      <c r="J10" s="102" t="s">
        <v>33</v>
      </c>
      <c r="K10" s="102"/>
      <c r="L10" s="103"/>
      <c r="M10" s="104" t="s">
        <v>34</v>
      </c>
      <c r="N10" s="105" t="n">
        <f aca="false">MIN(I23:I82)</f>
        <v>12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35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36</v>
      </c>
      <c r="J11" s="113"/>
      <c r="K11" s="114" t="n">
        <f aca="false">COUNTIF($G$23:$G$82,"=HET")</f>
        <v>0</v>
      </c>
      <c r="L11" s="115"/>
      <c r="M11" s="104" t="s">
        <v>37</v>
      </c>
      <c r="N11" s="105" t="n">
        <f aca="false">MAX(I23:I82)</f>
        <v>19</v>
      </c>
      <c r="O11" s="105" t="n">
        <f aca="false">MAX(J23:J82)</f>
        <v>3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38</v>
      </c>
      <c r="B12" s="117" t="n">
        <v>0.01</v>
      </c>
      <c r="C12" s="118"/>
      <c r="D12" s="110"/>
      <c r="E12" s="110"/>
      <c r="F12" s="111" t="n">
        <f aca="false">($B12*$B$7+$C12*$C$7)/100</f>
        <v>0.009</v>
      </c>
      <c r="G12" s="119"/>
      <c r="H12" s="68"/>
      <c r="I12" s="120" t="s">
        <v>39</v>
      </c>
      <c r="J12" s="120"/>
      <c r="K12" s="114" t="n">
        <f aca="false">COUNTIF($G$23:$G$82,"=ALG")</f>
        <v>1</v>
      </c>
      <c r="L12" s="121"/>
      <c r="M12" s="122"/>
      <c r="N12" s="123" t="s">
        <v>33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40</v>
      </c>
      <c r="B13" s="117" t="n">
        <v>1.05</v>
      </c>
      <c r="C13" s="118" t="n">
        <v>0.73</v>
      </c>
      <c r="D13" s="110"/>
      <c r="E13" s="110"/>
      <c r="F13" s="111" t="n">
        <f aca="false">($B13*$B$7+$C13*$C$7)/100</f>
        <v>1.018</v>
      </c>
      <c r="G13" s="119"/>
      <c r="H13" s="68"/>
      <c r="I13" s="120" t="s">
        <v>41</v>
      </c>
      <c r="J13" s="120"/>
      <c r="K13" s="114" t="n">
        <f aca="false">COUNTIF($G$23:$G$82,"=BRm")+COUNTIF($G$23:$G$82,"=BRh")</f>
        <v>4</v>
      </c>
      <c r="L13" s="115"/>
      <c r="M13" s="126" t="s">
        <v>42</v>
      </c>
      <c r="N13" s="127" t="n">
        <f aca="false">COUNTIF(F23:F82,"&gt;0")</f>
        <v>5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43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44</v>
      </c>
      <c r="J14" s="120"/>
      <c r="K14" s="114" t="n">
        <f aca="false">COUNTIF($G$23:$G$82,"=PTE")+COUNTIF($G$23:$G$82,"=LIC")</f>
        <v>0</v>
      </c>
      <c r="L14" s="115"/>
      <c r="M14" s="130" t="s">
        <v>45</v>
      </c>
      <c r="N14" s="131" t="n">
        <f aca="false">COUNTIF($I$23:$I$82,"&gt;-1")</f>
        <v>4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46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8"/>
      <c r="I15" s="120" t="s">
        <v>47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48</v>
      </c>
      <c r="N15" s="137" t="n">
        <f aca="false">COUNTIF(J23:J82,"=1")</f>
        <v>1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49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50</v>
      </c>
      <c r="N16" s="137" t="n">
        <f aca="false">COUNTIF(J23:J82,"=2")</f>
        <v>2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51</v>
      </c>
      <c r="B17" s="117" t="n">
        <v>1.06</v>
      </c>
      <c r="C17" s="118" t="n">
        <v>0.73</v>
      </c>
      <c r="D17" s="110"/>
      <c r="E17" s="110"/>
      <c r="F17" s="142"/>
      <c r="G17" s="111" t="n">
        <f aca="false">($B17*$B$7+$C17*$C$7)/100</f>
        <v>1.027</v>
      </c>
      <c r="H17" s="68"/>
      <c r="I17" s="120"/>
      <c r="J17" s="120"/>
      <c r="K17" s="141"/>
      <c r="L17" s="115"/>
      <c r="M17" s="136" t="s">
        <v>52</v>
      </c>
      <c r="N17" s="137" t="n">
        <f aca="false">COUNTIF(J23:J82,"=3")</f>
        <v>1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53</v>
      </c>
      <c r="B18" s="144"/>
      <c r="C18" s="145"/>
      <c r="D18" s="110"/>
      <c r="E18" s="146" t="s">
        <v>54</v>
      </c>
      <c r="F18" s="142"/>
      <c r="G18" s="111" t="n">
        <f aca="false">($B18*$B$7+$C18*$C$7)/100</f>
        <v>0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1.027</v>
      </c>
      <c r="G19" s="155" t="n">
        <f aca="false">SUM(G16:G18)</f>
        <v>1.027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1.06</v>
      </c>
      <c r="C20" s="165" t="n">
        <f aca="false">SUM(C23:C82)</f>
        <v>0.73</v>
      </c>
      <c r="D20" s="166"/>
      <c r="E20" s="167" t="s">
        <v>54</v>
      </c>
      <c r="F20" s="168" t="n">
        <f aca="false">($B20*$B$7+$C20*$C$7)/100</f>
        <v>1.027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0.954</v>
      </c>
      <c r="C21" s="178" t="n">
        <f aca="false">C20*C7/100</f>
        <v>0.073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1.027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0.01</v>
      </c>
      <c r="C23" s="205" t="n">
        <v>0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Phormidium sp.</v>
      </c>
      <c r="E23" s="206" t="e">
        <f aca="false">IF(D23="",0,VLOOKUP(D23,D$22:D22,1,0))</f>
        <v>#N/A</v>
      </c>
      <c r="F23" s="207" t="n">
        <f aca="false">($B23*$B$7+$C23*$C$7)/100</f>
        <v>0.009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13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Phormidium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6414</v>
      </c>
      <c r="Q23" s="215" t="n">
        <f aca="false">IF(ISTEXT(H23),"",(B23*$B$7/100)+(C23*$C$7/100))</f>
        <v>0.009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13</v>
      </c>
      <c r="T23" s="216" t="n">
        <f aca="false">IF(ISERROR(R23*I23*J23),0,R23*I23*J23)</f>
        <v>26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PHOSPX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57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0.01</v>
      </c>
      <c r="C24" s="224" t="n">
        <v>0.01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Jungermannia atrovirens</v>
      </c>
      <c r="E24" s="225" t="e">
        <f aca="false">IF(D24="",0,VLOOKUP(D24,D$22:D23,1,0))</f>
        <v>#N/A</v>
      </c>
      <c r="F24" s="226" t="n">
        <f aca="false">($B24*$B$7+$C24*$C$7)/100</f>
        <v>0.01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BRh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4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19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3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Jungermannia atrovirens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19820</v>
      </c>
      <c r="Q24" s="215" t="n">
        <f aca="false">IF(ISTEXT(H24),"",(B24*$B$7/100)+(C24*$C$7/100))</f>
        <v>0.01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19</v>
      </c>
      <c r="T24" s="216" t="n">
        <f aca="false">IF(ISERROR(R24*I24*J24),0,R24*I24*J24)</f>
        <v>57</v>
      </c>
      <c r="U24" s="228" t="n">
        <f aca="false">IF(ISERROR(R24*J24),0,R24*J24)</f>
        <v>3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JUGATR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101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0.01</v>
      </c>
      <c r="C25" s="224" t="n">
        <v>0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Cinclidotus sp.</v>
      </c>
      <c r="E25" s="225" t="e">
        <f aca="false">IF(D25="",0,VLOOKUP(D25,D$22:D24,1,0))</f>
        <v>#N/A</v>
      </c>
      <c r="F25" s="226" t="n">
        <f aca="false">($B25*$B$7+$C25*$C$7)/100</f>
        <v>0.009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BRm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5</v>
      </c>
      <c r="I25" s="210" t="str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/>
      </c>
      <c r="J25" s="210" t="str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/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Cinclidotus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1317</v>
      </c>
      <c r="Q25" s="215" t="n">
        <f aca="false">IF(ISTEXT(H25),"",(B25*$B$7/100)+(C25*$C$7/100))</f>
        <v>0.009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0</v>
      </c>
      <c r="T25" s="216" t="n">
        <f aca="false">IF(ISERROR(R25*I25*J25),0,R25*I25*J25)</f>
        <v>0</v>
      </c>
      <c r="U25" s="228" t="n">
        <f aca="false">IF(ISERROR(R25*J25),0,R25*J25)</f>
        <v>0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CINSPX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175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81</v>
      </c>
      <c r="B26" s="223" t="n">
        <v>0.02</v>
      </c>
      <c r="C26" s="224" t="n">
        <v>0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Cratoneuron commutatum</v>
      </c>
      <c r="E26" s="225" t="e">
        <f aca="false">IF(D26="",0,VLOOKUP(D26,D$22:D25,1,0))</f>
        <v>#N/A</v>
      </c>
      <c r="F26" s="226" t="n">
        <f aca="false">($B26*$B$7+$C26*$C$7)/100</f>
        <v>0.018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BRm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5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15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Cratoneuron commutatum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1232</v>
      </c>
      <c r="Q26" s="215" t="n">
        <f aca="false">IF(ISTEXT(H26),"",(B26*$B$7/100)+(C26*$C$7/100))</f>
        <v>0.018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15</v>
      </c>
      <c r="T26" s="216" t="n">
        <f aca="false">IF(ISERROR(R26*I26*J26),0,R26*I26*J26)</f>
        <v>30</v>
      </c>
      <c r="U26" s="228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CRACOM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177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16</v>
      </c>
      <c r="B27" s="223" t="n">
        <v>1.01</v>
      </c>
      <c r="C27" s="224" t="n">
        <v>0.72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Rhynchostegium riparioides</v>
      </c>
      <c r="E27" s="225" t="e">
        <f aca="false">IF(D27="",0,VLOOKUP(D27,D$22:D26,1,0))</f>
        <v>#N/A</v>
      </c>
      <c r="F27" s="226" t="n">
        <f aca="false">($B27*$B$7+$C27*$C$7)/100</f>
        <v>0.981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12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Rhynchostegium riparioides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1268</v>
      </c>
      <c r="Q27" s="215" t="n">
        <f aca="false">IF(ISTEXT(H27),"",(B27*$B$7/100)+(C27*$C$7/100))</f>
        <v>0.981</v>
      </c>
      <c r="R27" s="216" t="n">
        <f aca="false">IF(OR(ISTEXT(H27),Q27=0),"",IF(Q27&lt;0.1,1,IF(Q27&lt;1,2,IF(Q27&lt;10,3,IF(Q27&lt;50,4,IF(Q27&gt;=50,5,""))))))</f>
        <v>2</v>
      </c>
      <c r="S27" s="216" t="n">
        <f aca="false">IF(ISERROR(R27*I27),0,R27*I27)</f>
        <v>24</v>
      </c>
      <c r="T27" s="216" t="n">
        <f aca="false">IF(ISERROR(R27*I27*J27),0,R27*I27*J27)</f>
        <v>24</v>
      </c>
      <c r="U27" s="228" t="n">
        <f aca="false">IF(ISERROR(R27*J27),0,R27*J27)</f>
        <v>2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RHYRIP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252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/>
      <c r="B28" s="223"/>
      <c r="C28" s="224"/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5" t="n">
        <f aca="false">IF(D28="",0,VLOOKUP(D28,D$22:D27,1,0))</f>
        <v>0</v>
      </c>
      <c r="F28" s="226" t="n">
        <f aca="false">($B28*$B$7+$C28*$C$7)/100</f>
        <v>0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09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0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0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7"/>
      <c r="M28" s="227"/>
      <c r="N28" s="227"/>
      <c r="O28" s="213"/>
      <c r="P28" s="214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5" t="str">
        <f aca="false">IF(ISTEXT(H28),"",(B28*$B$7/100)+(C28*$C$7/100))</f>
        <v/>
      </c>
      <c r="R28" s="216" t="str">
        <f aca="false">IF(OR(ISTEXT(H28),Q28=0),"",IF(Q28&lt;0.1,1,IF(Q28&lt;1,2,IF(Q28&lt;10,3,IF(Q28&lt;50,4,IF(Q28&gt;=50,5,""))))))</f>
        <v/>
      </c>
      <c r="S28" s="216" t="n">
        <f aca="false">IF(ISERROR(R28*I28),0,R28*I28)</f>
        <v>0</v>
      </c>
      <c r="T28" s="216" t="n">
        <f aca="false">IF(ISERROR(R28*I28*J28),0,R28*I28*J28)</f>
        <v>0</v>
      </c>
      <c r="U28" s="228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0"/>
      <c r="AB28" s="221"/>
      <c r="AC28" s="221"/>
      <c r="BB28" s="10" t="str">
        <f aca="false">IF(A28="","",1)</f>
        <v/>
      </c>
    </row>
    <row r="29" customFormat="false" ht="12.75" hidden="false" customHeight="false" outlineLevel="0" collapsed="false">
      <c r="A29" s="222"/>
      <c r="B29" s="223"/>
      <c r="C29" s="224"/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5" t="n">
        <f aca="false">IF(D29="",0,VLOOKUP(D29,D$22:D28,1,0))</f>
        <v>0</v>
      </c>
      <c r="F29" s="226" t="n">
        <f aca="false">($B29*$B$7+$C29*$C$7)/100</f>
        <v>0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09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0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0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7"/>
      <c r="M29" s="227"/>
      <c r="N29" s="227"/>
      <c r="O29" s="213"/>
      <c r="P29" s="214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5" t="str">
        <f aca="false">IF(ISTEXT(H29),"",(B29*$B$7/100)+(C29*$C$7/100))</f>
        <v/>
      </c>
      <c r="R29" s="216" t="str">
        <f aca="false">IF(OR(ISTEXT(H29),Q29=0),"",IF(Q29&lt;0.1,1,IF(Q29&lt;1,2,IF(Q29&lt;10,3,IF(Q29&lt;50,4,IF(Q29&gt;=50,5,""))))))</f>
        <v/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0"/>
      <c r="AB29" s="221"/>
      <c r="AC29" s="221"/>
      <c r="BB29" s="10" t="str">
        <f aca="false">IF(A29="","",1)</f>
        <v/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09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0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0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SIERRE</v>
      </c>
      <c r="B84" s="258" t="str">
        <f aca="false">C3</f>
        <v>SIERRE A MONTCEL</v>
      </c>
      <c r="C84" s="259" t="n">
        <f aca="false">A4</f>
        <v>41822</v>
      </c>
      <c r="D84" s="260" t="n">
        <f aca="false">IF(ISERROR(SUM($T$23:$T$82)/SUM($U$23:$U$82)),"",SUM($T$23:$T$82)/SUM($U$23:$U$82))</f>
        <v>15.2222222222222</v>
      </c>
      <c r="E84" s="261" t="n">
        <f aca="false">N13</f>
        <v>5</v>
      </c>
      <c r="F84" s="258" t="n">
        <f aca="false">N14</f>
        <v>4</v>
      </c>
      <c r="G84" s="258" t="n">
        <f aca="false">N15</f>
        <v>1</v>
      </c>
      <c r="H84" s="258" t="n">
        <f aca="false">N16</f>
        <v>2</v>
      </c>
      <c r="I84" s="258" t="n">
        <f aca="false">N17</f>
        <v>1</v>
      </c>
      <c r="J84" s="262" t="n">
        <f aca="false">N8</f>
        <v>14.75</v>
      </c>
      <c r="K84" s="260" t="n">
        <f aca="false">N9</f>
        <v>2.6809513236909</v>
      </c>
      <c r="L84" s="261" t="n">
        <f aca="false">N10</f>
        <v>12</v>
      </c>
      <c r="M84" s="261" t="n">
        <f aca="false">N11</f>
        <v>19</v>
      </c>
      <c r="N84" s="260" t="n">
        <f aca="false">O8</f>
        <v>2</v>
      </c>
      <c r="O84" s="260" t="n">
        <f aca="false">O9</f>
        <v>0.707106781186548</v>
      </c>
      <c r="P84" s="261" t="n">
        <f aca="false">O10</f>
        <v>1</v>
      </c>
      <c r="Q84" s="261" t="n">
        <f aca="false">O11</f>
        <v>3</v>
      </c>
      <c r="R84" s="261" t="n">
        <f aca="false">F21</f>
        <v>1.027</v>
      </c>
      <c r="S84" s="261" t="n">
        <f aca="false">K11</f>
        <v>0</v>
      </c>
      <c r="T84" s="261" t="n">
        <f aca="false">K12</f>
        <v>1</v>
      </c>
      <c r="U84" s="261" t="n">
        <f aca="false">K13</f>
        <v>4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83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84</v>
      </c>
      <c r="R87" s="10"/>
      <c r="S87" s="217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85</v>
      </c>
      <c r="R88" s="10"/>
      <c r="S88" s="217" t="n">
        <f aca="false">VLOOKUP((S87),($S$23:$U$82),2,0)</f>
        <v>24</v>
      </c>
      <c r="T88" s="10"/>
      <c r="U88" s="10"/>
      <c r="V88" s="10"/>
    </row>
    <row r="89" customFormat="false" ht="12.75" hidden="true" customHeight="false" outlineLevel="0" collapsed="false">
      <c r="Q89" s="10" t="s">
        <v>86</v>
      </c>
      <c r="R89" s="10"/>
      <c r="S89" s="217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87</v>
      </c>
      <c r="R90" s="10"/>
      <c r="S90" s="267" t="n">
        <f aca="false">IF(ISERROR(SUM($T$23:$T$82)/SUM($U$23:$U$82)),"",(SUM($T$23:$T$82)-S88)/(SUM($U$23:$U$82)-S89))</f>
        <v>16.1428571428571</v>
      </c>
      <c r="T90" s="10"/>
    </row>
    <row r="91" customFormat="false" ht="12.75" hidden="false" customHeight="false" outlineLevel="0" collapsed="false">
      <c r="Q91" s="216" t="s">
        <v>88</v>
      </c>
      <c r="R91" s="216"/>
      <c r="S91" s="216" t="str">
        <f aca="false">INDEX('[2]liste reference'!$A$8:$A$904,$T$91)</f>
        <v>RHYRIP</v>
      </c>
      <c r="T91" s="10" t="n">
        <f aca="false">IF(ISERROR(MATCH($S$93,'[2]liste reference'!$A$8:$A$904,0)),MATCH($S$93,'[2]liste reference'!$B$8:$B$904,0),(MATCH($S$93,'[2]liste reference'!$A$8:$A$904,0)))</f>
        <v>252</v>
      </c>
      <c r="U91" s="256"/>
    </row>
    <row r="92" customFormat="false" ht="12.75" hidden="false" customHeight="false" outlineLevel="0" collapsed="false">
      <c r="Q92" s="10" t="s">
        <v>89</v>
      </c>
      <c r="R92" s="10"/>
      <c r="S92" s="10" t="n">
        <f aca="false">MATCH(S87,$S$23:$S$82,0)</f>
        <v>5</v>
      </c>
      <c r="T92" s="10"/>
    </row>
    <row r="93" customFormat="false" ht="12.75" hidden="false" customHeight="false" outlineLevel="0" collapsed="false">
      <c r="Q93" s="216" t="s">
        <v>90</v>
      </c>
      <c r="R93" s="10"/>
      <c r="S93" s="216" t="str">
        <f aca="false">INDEX($A$23:$A$82,$S$92)</f>
        <v>RHYRIP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2015-03-17T16:34:50Z</dcterms:created>
  <dc:creator>Laurent Bourgoin</dc:creator>
  <dc:description/>
  <dc:language>fr-FR</dc:language>
  <cp:lastModifiedBy>Laurent Bourgoin</cp:lastModifiedBy>
  <dcterms:modified xsi:type="dcterms:W3CDTF">2015-03-17T16:34:57Z</dcterms:modified>
  <cp:revision>0</cp:revision>
  <dc:subject/>
  <dc:title/>
</cp:coreProperties>
</file>