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<sst xmlns="http://schemas.openxmlformats.org/spreadsheetml/2006/main" count="172" uniqueCount="106">
  <si>
    <t xml:space="preserve">Relevés floristiques aquatiques - IBMR</t>
  </si>
  <si>
    <t xml:space="preserve">modèle Irstea-GIS</t>
  </si>
  <si>
    <t xml:space="preserve">SAGE</t>
  </si>
  <si>
    <t xml:space="preserve">P.Belly S.Renahy</t>
  </si>
  <si>
    <t xml:space="preserve">Canal Furon</t>
  </si>
  <si>
    <t xml:space="preserve">Furon à Engins</t>
  </si>
  <si>
    <t xml:space="preserve">06580839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</si>
  <si>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</si>
  <si>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</si>
  <si>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</si>
  <si>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</si>
  <si>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</si>
  <si>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</si>
  <si>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</si>
  <si>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</si>
  <si>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</si>
  <si>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CINAQU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</si>
  <si>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</si>
  <si>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</si>
  <si>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</si>
  <si>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</si>
  <si>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</si>
  <si>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</si>
  <si>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</si>
  <si>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</si>
  <si>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</si>
  <si>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</si>
  <si>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</si>
  <si>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</si>
  <si>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</si>
  <si>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</si>
  <si>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</si>
  <si>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</si>
  <si>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</si>
  <si>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</si>
  <si>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</si>
  <si>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</si>
  <si>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</si>
  <si>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</si>
  <si>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</si>
  <si>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</si>
  <si>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</si>
  <si>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</si>
  <si>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</si>
  <si>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</si>
  <si>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</si>
  <si>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</si>
  <si>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</si>
  <si>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</si>
  <si>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</si>
  <si>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</si>
  <si>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</si>
  <si>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</si>
  <si>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</si>
  <si>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</si>
  <si>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</si>
  <si>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</si>
  <si>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</si>
  <si>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</si>
  <si>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</si>
  <si>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</si>
  <si>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</si>
  <si>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</si>
  <si>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</si>
  <si>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</si>
  <si>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</si>
  <si>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</si>
  <si>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</si>
  <si>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</si>
  <si>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</si>
  <si>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</si>
  <si>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</si>
  <si>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</si>
  <si>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</si>
  <si>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</si>
  <si>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</si>
  <si>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</si>
  <si>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</si>
  <si>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</si>
  <si>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</si>
  <si>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</si>
  <si>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DIASPX</t>
  </si>
  <si>
    <t xml:space="preserve">HOMSPX</t>
  </si>
  <si>
    <t xml:space="preserve">HYUSPX</t>
  </si>
  <si>
    <t xml:space="preserve">MELSPX</t>
  </si>
  <si>
    <t xml:space="preserve">NOSSPX</t>
  </si>
  <si>
    <t xml:space="preserve">OEDSPX</t>
  </si>
  <si>
    <t xml:space="preserve">PHOSPX</t>
  </si>
  <si>
    <t xml:space="preserve">SPISPX</t>
  </si>
  <si>
    <t xml:space="preserve">TRISPX</t>
  </si>
  <si>
    <t xml:space="preserve">ULOSPX</t>
  </si>
  <si>
    <t xml:space="preserve">VAUSPX</t>
  </si>
  <si>
    <t xml:space="preserve">PELEND</t>
  </si>
  <si>
    <t xml:space="preserve">CINFON</t>
  </si>
  <si>
    <t xml:space="preserve">CINRIP</t>
  </si>
  <si>
    <t xml:space="preserve">LEORIP</t>
  </si>
  <si>
    <t xml:space="preserve">PALCOM</t>
  </si>
  <si>
    <t xml:space="preserve">RHYRIP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</si>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</sst>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FUREN_09-07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42194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11.9736842105263</v>
      </c>
      <c r="N5" s="51"/>
      <c r="O5" s="52" t="s">
        <v>16</v>
      </c>
      <c r="P5" s="53" t="n">
        <v>11.40625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 t="s">
        <v>19</v>
      </c>
      <c r="D6" s="57"/>
      <c r="E6" s="57"/>
      <c r="F6" s="58"/>
      <c r="G6" s="46"/>
      <c r="H6" s="44"/>
      <c r="I6" s="8"/>
      <c r="J6" s="59"/>
      <c r="K6" s="60"/>
      <c r="L6" s="61" t="s">
        <v>20</v>
      </c>
      <c r="M6" s="62" t="s">
        <v>21</v>
      </c>
      <c r="N6" s="63"/>
      <c r="O6" s="64" t="n">
        <v>2</v>
      </c>
      <c r="P6" s="65" t="s">
        <v>21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22</v>
      </c>
      <c r="B7" s="68" t="n">
        <v>90</v>
      </c>
      <c r="C7" s="69" t="n">
        <v>10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23</v>
      </c>
      <c r="P7" s="78" t="s">
        <v>24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25</v>
      </c>
      <c r="B8" s="43"/>
      <c r="C8" s="43"/>
      <c r="D8" s="57"/>
      <c r="E8" s="57"/>
      <c r="F8" s="80" t="s">
        <v>26</v>
      </c>
      <c r="G8" s="81"/>
      <c r="H8" s="57"/>
      <c r="I8" s="8"/>
      <c r="J8" s="72"/>
      <c r="K8" s="73"/>
      <c r="L8" s="74"/>
      <c r="M8" s="75"/>
      <c r="N8" s="82" t="s">
        <v>27</v>
      </c>
      <c r="O8" s="83" t="n">
        <f aca="false">IF(ISERROR(AVERAGE(J23:J82))," ",AVERAGE(J23:J82))</f>
        <v>10.5294117647059</v>
      </c>
      <c r="P8" s="83" t="n">
        <f aca="false">IF(ISERROR(AVERAGE(K23:K82)),"  ",AVERAGE(K23:K82))</f>
        <v>1.58823529411765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28</v>
      </c>
      <c r="B9" s="85" t="n">
        <v>8.36</v>
      </c>
      <c r="C9" s="86" t="n">
        <v>0.58</v>
      </c>
      <c r="D9" s="87"/>
      <c r="E9" s="87"/>
      <c r="F9" s="88" t="n">
        <f aca="false">($B9*$B$7+$C9*$C$7)/100</f>
        <v>7.582</v>
      </c>
      <c r="G9" s="89"/>
      <c r="H9" s="44"/>
      <c r="I9" s="8"/>
      <c r="J9" s="90"/>
      <c r="K9" s="91"/>
      <c r="L9" s="74"/>
      <c r="M9" s="92"/>
      <c r="N9" s="82" t="s">
        <v>29</v>
      </c>
      <c r="O9" s="83" t="n">
        <f aca="false">IF(ISERROR(STDEVP(J23:J82))," ",STDEVP(J23:J82))</f>
        <v>3.4830285513147</v>
      </c>
      <c r="P9" s="83" t="n">
        <f aca="false">IF(ISERROR(STDEVP(K23:K82)),"  ",STDEVP(K23:K82))</f>
        <v>0.49215295678475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30</v>
      </c>
      <c r="B10" s="93" t="s">
        <v>31</v>
      </c>
      <c r="C10" s="94" t="s">
        <v>31</v>
      </c>
      <c r="D10" s="87"/>
      <c r="E10" s="87"/>
      <c r="F10" s="88"/>
      <c r="G10" s="89"/>
      <c r="H10" s="57"/>
      <c r="I10" s="8"/>
      <c r="J10" s="95"/>
      <c r="K10" s="96" t="s">
        <v>32</v>
      </c>
      <c r="L10" s="97"/>
      <c r="M10" s="98"/>
      <c r="N10" s="82" t="s">
        <v>33</v>
      </c>
      <c r="O10" s="99" t="n">
        <f aca="false">MIN(J23:J82)</f>
        <v>4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34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35</v>
      </c>
      <c r="K11" s="106"/>
      <c r="L11" s="107" t="n">
        <f aca="false">COUNTIF($G$23:$G$82,"=HET")</f>
        <v>0</v>
      </c>
      <c r="M11" s="108"/>
      <c r="N11" s="82" t="s">
        <v>36</v>
      </c>
      <c r="O11" s="99" t="n">
        <f aca="false">MAX(J23:J82)</f>
        <v>16</v>
      </c>
      <c r="P11" s="99" t="n">
        <f aca="false">MAX(K23:K82)</f>
        <v>2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37</v>
      </c>
      <c r="B12" s="110" t="n">
        <v>0.25</v>
      </c>
      <c r="C12" s="111" t="n">
        <v>0.16</v>
      </c>
      <c r="D12" s="87"/>
      <c r="E12" s="87"/>
      <c r="F12" s="104" t="n">
        <f aca="false">($B12*$B$7+$C12*$C$7)/100</f>
        <v>0.241</v>
      </c>
      <c r="G12" s="105"/>
      <c r="H12" s="57"/>
      <c r="I12" s="8"/>
      <c r="J12" s="106" t="s">
        <v>38</v>
      </c>
      <c r="K12" s="106"/>
      <c r="L12" s="107" t="n">
        <f aca="false">COUNTIF($G$23:$G$82,"=ALG")</f>
        <v>12</v>
      </c>
      <c r="M12" s="108"/>
      <c r="N12" s="112"/>
      <c r="O12" s="113" t="s">
        <v>32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39</v>
      </c>
      <c r="B13" s="110" t="n">
        <v>8.11</v>
      </c>
      <c r="C13" s="111" t="n">
        <v>0.42</v>
      </c>
      <c r="D13" s="87"/>
      <c r="E13" s="87"/>
      <c r="F13" s="104" t="n">
        <f aca="false">($B13*$B$7+$C13*$C$7)/100</f>
        <v>7.341</v>
      </c>
      <c r="G13" s="105"/>
      <c r="H13" s="57"/>
      <c r="I13" s="8"/>
      <c r="J13" s="106" t="s">
        <v>40</v>
      </c>
      <c r="K13" s="106"/>
      <c r="L13" s="107" t="n">
        <f aca="false">COUNTIF($G$23:$G$82,"=BRm")+COUNTIF($G$23:$G$82,"=BRh")</f>
        <v>7</v>
      </c>
      <c r="M13" s="108"/>
      <c r="N13" s="116" t="s">
        <v>41</v>
      </c>
      <c r="O13" s="117" t="n">
        <f aca="false">COUNTIF(F23:F82,"&gt;0")</f>
        <v>19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42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43</v>
      </c>
      <c r="K14" s="106"/>
      <c r="L14" s="107" t="n">
        <f aca="false">COUNTIF($G$23:$G$82,"=PTE")+COUNTIF($G$23:$G$82,"=LIC")</f>
        <v>0</v>
      </c>
      <c r="M14" s="108"/>
      <c r="N14" s="119" t="s">
        <v>44</v>
      </c>
      <c r="O14" s="120" t="n">
        <f aca="false">COUNTIF($J$23:$J$82,"&gt;-1")</f>
        <v>17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45</v>
      </c>
      <c r="B15" s="123"/>
      <c r="C15" s="124"/>
      <c r="D15" s="87"/>
      <c r="E15" s="87"/>
      <c r="F15" s="104" t="n">
        <f aca="false">($B15*$B$7+$C15*$C$7)/100</f>
        <v>0</v>
      </c>
      <c r="G15" s="105"/>
      <c r="H15" s="57"/>
      <c r="I15" s="8"/>
      <c r="J15" s="106" t="s">
        <v>46</v>
      </c>
      <c r="K15" s="106"/>
      <c r="L15" s="107" t="n">
        <f aca="false">(COUNTIF($G$23:$G$82,"=PHy"))+(COUNTIF($G$23:$G$82,"=PHe"))+(COUNTIF($G$23:$G$82,"=PHg"))+(COUNTIF($G$23:$G$82,"=PHx"))</f>
        <v>0</v>
      </c>
      <c r="M15" s="108"/>
      <c r="N15" s="116" t="s">
        <v>47</v>
      </c>
      <c r="O15" s="117" t="n">
        <f aca="false">COUNTIF(K23:K82,"=1")</f>
        <v>7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48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49</v>
      </c>
      <c r="O16" s="117" t="n">
        <f aca="false">COUNTIF(K23:K82,"=2")</f>
        <v>10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50</v>
      </c>
      <c r="B17" s="110" t="n">
        <v>8.36</v>
      </c>
      <c r="C17" s="111" t="n">
        <v>0.58</v>
      </c>
      <c r="D17" s="87"/>
      <c r="E17" s="87"/>
      <c r="F17" s="129"/>
      <c r="G17" s="130" t="n">
        <f aca="false">($B17*$B$7+$C17*$C$7)/100</f>
        <v>7.582</v>
      </c>
      <c r="H17" s="57"/>
      <c r="I17" s="8"/>
      <c r="J17" s="131"/>
      <c r="K17" s="132"/>
      <c r="L17" s="133" t="s">
        <v>51</v>
      </c>
      <c r="M17" s="134" t="n">
        <f aca="false">IF(ISERROR((O13-(COUNTIF(J23:J82,"nc")))/O13),"-",(O13-(COUNTIF(J23:J82,"nc")))/O13)</f>
        <v>0.894736842105263</v>
      </c>
      <c r="N17" s="116" t="s">
        <v>52</v>
      </c>
      <c r="O17" s="117" t="n">
        <f aca="false">COUNTIF(K23:K82,"=3")</f>
        <v>0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53</v>
      </c>
      <c r="B18" s="137"/>
      <c r="C18" s="138"/>
      <c r="D18" s="87"/>
      <c r="E18" s="139" t="s">
        <v>54</v>
      </c>
      <c r="F18" s="129"/>
      <c r="G18" s="130" t="n">
        <f aca="false">($B18*$B$7+$C18*$C$7)/100</f>
        <v>0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7.582</v>
      </c>
      <c r="G19" s="150" t="n">
        <f aca="false">SUM(G16:G18)</f>
        <v>7.582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55</v>
      </c>
      <c r="B20" s="159" t="n">
        <f aca="false">SUM(B23:B62)</f>
        <v>8.36</v>
      </c>
      <c r="C20" s="160" t="n">
        <f aca="false">SUM(C23:C62)</f>
        <v>0.58</v>
      </c>
      <c r="D20" s="161"/>
      <c r="E20" s="162" t="s">
        <v>54</v>
      </c>
      <c r="F20" s="163" t="n">
        <f aca="false">($B20*$B$7+$C20*$C$7)/100</f>
        <v>7.582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56</v>
      </c>
      <c r="B21" s="171" t="n">
        <f aca="false">B20*B7/100</f>
        <v>7.524</v>
      </c>
      <c r="C21" s="171" t="n">
        <f aca="false">C20*C7/100</f>
        <v>0.058</v>
      </c>
      <c r="D21" s="172" t="s">
        <v>57</v>
      </c>
      <c r="E21" s="173"/>
      <c r="F21" s="174" t="n">
        <f aca="false">B21+C21</f>
        <v>7.582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58</v>
      </c>
    </row>
    <row r="22" customFormat="false" ht="12.75" hidden="false" customHeight="false" outlineLevel="0" collapsed="false">
      <c r="A22" s="183" t="s">
        <v>59</v>
      </c>
      <c r="B22" s="184" t="s">
        <v>60</v>
      </c>
      <c r="C22" s="184" t="s">
        <v>60</v>
      </c>
      <c r="D22" s="185"/>
      <c r="E22" s="186"/>
      <c r="F22" s="187" t="s">
        <v>61</v>
      </c>
      <c r="G22" s="188" t="s">
        <v>62</v>
      </c>
      <c r="H22" s="87" t="s">
        <v>63</v>
      </c>
      <c r="I22" s="8" t="s">
        <v>64</v>
      </c>
      <c r="J22" s="189" t="s">
        <v>65</v>
      </c>
      <c r="K22" s="189" t="s">
        <v>66</v>
      </c>
      <c r="L22" s="190" t="s">
        <v>67</v>
      </c>
      <c r="M22" s="190"/>
      <c r="N22" s="190"/>
      <c r="O22" s="190"/>
      <c r="P22" s="182" t="s">
        <v>68</v>
      </c>
      <c r="Q22" s="191" t="s">
        <v>69</v>
      </c>
      <c r="R22" s="192" t="s">
        <v>70</v>
      </c>
      <c r="S22" s="193" t="s">
        <v>71</v>
      </c>
      <c r="T22" s="194" t="s">
        <v>72</v>
      </c>
      <c r="U22" s="194" t="s">
        <v>73</v>
      </c>
      <c r="V22" s="195" t="s">
        <v>74</v>
      </c>
      <c r="W22" s="196" t="s">
        <v>75</v>
      </c>
      <c r="X22" s="196" t="s">
        <v>76</v>
      </c>
      <c r="Y22" s="197" t="s">
        <v>77</v>
      </c>
      <c r="Z22" s="197" t="s">
        <v>78</v>
      </c>
    </row>
    <row r="23" customFormat="false" ht="12.75" hidden="false" customHeight="false" outlineLevel="0" collapsed="false">
      <c r="A23" s="198" t="s">
        <v>79</v>
      </c>
      <c r="B23" s="199" t="n">
        <v>0.11</v>
      </c>
      <c r="C23" s="200" t="n">
        <v>0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Cladophora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0.099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6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1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Cladophora sp.</v>
      </c>
      <c r="M23" s="208"/>
      <c r="N23" s="208"/>
      <c r="O23" s="208"/>
      <c r="P23" s="209" t="s">
        <v>80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1124</v>
      </c>
      <c r="R23" s="211" t="n">
        <f aca="false">IF(ISTEXT(H23),"",(B23*$B$7/100)+(C23*$C$7/100))</f>
        <v>0.099</v>
      </c>
      <c r="S23" s="212" t="n">
        <f aca="false">IF(OR(ISTEXT(H23),R23=0),"",IF(R23&lt;0.1,1,IF(R23&lt;1,2,IF(R23&lt;10,3,IF(R23&lt;50,4,IF(R23&gt;=50,5,""))))))</f>
        <v>1</v>
      </c>
      <c r="T23" s="212" t="n">
        <f aca="false">IF(ISERROR(S23*J23),0,S23*J23)</f>
        <v>6</v>
      </c>
      <c r="U23" s="212" t="n">
        <f aca="false">IF(ISERROR(S23*J23*K23),0,S23*J23*K23)</f>
        <v>6</v>
      </c>
      <c r="V23" s="212" t="n">
        <f aca="false">IF(ISERROR(S23*K23),0,S23*K23)</f>
        <v>1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CLASPX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35</v>
      </c>
    </row>
    <row r="24" customFormat="false" ht="12.75" hidden="false" customHeight="false" outlineLevel="0" collapsed="false">
      <c r="A24" s="216" t="s">
        <v>81</v>
      </c>
      <c r="B24" s="217" t="n">
        <v>0.02</v>
      </c>
      <c r="C24" s="218" t="n">
        <v>0.01</v>
      </c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Diatoma sp.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0.019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8" t="n">
        <f aca="false">IF(A24="","",1)</f>
        <v>1</v>
      </c>
      <c r="J24" s="224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12</v>
      </c>
      <c r="K24" s="224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2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Diatoma sp.</v>
      </c>
      <c r="M24" s="225"/>
      <c r="N24" s="225"/>
      <c r="O24" s="225"/>
      <c r="P24" s="226" t="s">
        <v>80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6627</v>
      </c>
      <c r="R24" s="211" t="n">
        <f aca="false">IF(ISTEXT(H24),"",(B24*$B$7/100)+(C24*$C$7/100))</f>
        <v>0.019</v>
      </c>
      <c r="S24" s="212" t="n">
        <f aca="false">IF(OR(ISTEXT(H24),R24=0),"",IF(R24&lt;0.1,1,IF(R24&lt;1,2,IF(R24&lt;10,3,IF(R24&lt;50,4,IF(R24&gt;=50,5,""))))))</f>
        <v>1</v>
      </c>
      <c r="T24" s="212" t="n">
        <f aca="false">IF(ISERROR(S24*J24),0,S24*J24)</f>
        <v>12</v>
      </c>
      <c r="U24" s="212" t="n">
        <f aca="false">IF(ISERROR(S24*J24*K24),0,S24*J24*K24)</f>
        <v>24</v>
      </c>
      <c r="V24" s="228" t="n">
        <f aca="false">IF(ISERROR(S24*K24),0,S24*K24)</f>
        <v>2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DIASPX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40</v>
      </c>
    </row>
    <row r="25" customFormat="false" ht="12.75" hidden="false" customHeight="false" outlineLevel="0" collapsed="false">
      <c r="A25" s="216" t="s">
        <v>82</v>
      </c>
      <c r="B25" s="217" t="n">
        <v>0.02</v>
      </c>
      <c r="C25" s="218" t="n">
        <v>0</v>
      </c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Homoeothrix sp.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0.018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ALG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2</v>
      </c>
      <c r="I25" s="8" t="n">
        <f aca="false">IF(A25="","",1)</f>
        <v>1</v>
      </c>
      <c r="J25" s="224" t="str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nc</v>
      </c>
      <c r="K25" s="224" t="str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nc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Homoeothrix sp.</v>
      </c>
      <c r="M25" s="225"/>
      <c r="N25" s="225"/>
      <c r="O25" s="225"/>
      <c r="P25" s="226" t="s">
        <v>80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6395</v>
      </c>
      <c r="R25" s="211" t="n">
        <f aca="false">IF(ISTEXT(H25),"",(B25*$B$7/100)+(C25*$C$7/100))</f>
        <v>0.018</v>
      </c>
      <c r="S25" s="212" t="n">
        <f aca="false">IF(OR(ISTEXT(H25),R25=0),"",IF(R25&lt;0.1,1,IF(R25&lt;1,2,IF(R25&lt;10,3,IF(R25&lt;50,4,IF(R25&gt;=50,5,""))))))</f>
        <v>1</v>
      </c>
      <c r="T25" s="212" t="n">
        <f aca="false">IF(ISERROR(S25*J25),0,S25*J25)</f>
        <v>0</v>
      </c>
      <c r="U25" s="212" t="n">
        <f aca="false">IF(ISERROR(S25*J25*K25),0,S25*J25*K25)</f>
        <v>0</v>
      </c>
      <c r="V25" s="228" t="n">
        <f aca="false">IF(ISERROR(S25*K25),0,S25*K25)</f>
        <v>0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HOMSPX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54</v>
      </c>
    </row>
    <row r="26" customFormat="false" ht="12.75" hidden="false" customHeight="false" outlineLevel="0" collapsed="false">
      <c r="A26" s="216" t="s">
        <v>83</v>
      </c>
      <c r="B26" s="217" t="n">
        <v>0.01</v>
      </c>
      <c r="C26" s="218" t="n">
        <v>0</v>
      </c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Hydrurus sp.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0.009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ALG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2</v>
      </c>
      <c r="I26" s="8" t="n">
        <f aca="false">IF(A26="","",1)</f>
        <v>1</v>
      </c>
      <c r="J26" s="224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16</v>
      </c>
      <c r="K26" s="224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2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Hydrurus sp.</v>
      </c>
      <c r="M26" s="225"/>
      <c r="N26" s="225"/>
      <c r="O26" s="225"/>
      <c r="P26" s="226" t="s">
        <v>80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6183</v>
      </c>
      <c r="R26" s="211" t="n">
        <f aca="false">IF(ISTEXT(H26),"",(B26*$B$7/100)+(C26*$C$7/100))</f>
        <v>0.009</v>
      </c>
      <c r="S26" s="212" t="n">
        <f aca="false">IF(OR(ISTEXT(H26),R26=0),"",IF(R26&lt;0.1,1,IF(R26&lt;1,2,IF(R26&lt;10,3,IF(R26&lt;50,4,IF(R26&gt;=50,5,""))))))</f>
        <v>1</v>
      </c>
      <c r="T26" s="212" t="n">
        <f aca="false">IF(ISERROR(S26*J26),0,S26*J26)</f>
        <v>16</v>
      </c>
      <c r="U26" s="212" t="n">
        <f aca="false">IF(ISERROR(S26*J26*K26),0,S26*J26*K26)</f>
        <v>32</v>
      </c>
      <c r="V26" s="228" t="n">
        <f aca="false">IF(ISERROR(S26*K26),0,S26*K26)</f>
        <v>2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HYUSPX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56</v>
      </c>
    </row>
    <row r="27" customFormat="false" ht="12.75" hidden="false" customHeight="false" outlineLevel="0" collapsed="false">
      <c r="A27" s="216" t="s">
        <v>84</v>
      </c>
      <c r="B27" s="217" t="n">
        <v>0</v>
      </c>
      <c r="C27" s="218" t="n">
        <v>0.01</v>
      </c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Melosira sp.</v>
      </c>
      <c r="E27" s="220" t="e">
        <f aca="false">IF(D27="",0,VLOOKUP(D27,D$22:D26,1,0))</f>
        <v>#N/A</v>
      </c>
      <c r="F27" s="221" t="n">
        <f aca="false">IF(AND(OR(A27="",A27="!!!!!!"),B27="",C27=""),"",IF(OR(AND(B27="",C27=""),ISERROR(C27+B27)),"!!!",($B27*$B$7+$C27*$C$7)/100))</f>
        <v>0.001</v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ALG</v>
      </c>
      <c r="H27" s="223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2</v>
      </c>
      <c r="I27" s="8" t="n">
        <f aca="false">IF(A27="","",1)</f>
        <v>1</v>
      </c>
      <c r="J27" s="224" t="n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10</v>
      </c>
      <c r="K27" s="224" t="n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1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Melosira sp.</v>
      </c>
      <c r="M27" s="225"/>
      <c r="N27" s="225"/>
      <c r="O27" s="225"/>
      <c r="P27" s="226" t="s">
        <v>80</v>
      </c>
      <c r="Q27" s="227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8714</v>
      </c>
      <c r="R27" s="211" t="n">
        <f aca="false">IF(ISTEXT(H27),"",(B27*$B$7/100)+(C27*$C$7/100))</f>
        <v>0.001</v>
      </c>
      <c r="S27" s="212" t="n">
        <f aca="false">IF(OR(ISTEXT(H27),R27=0),"",IF(R27&lt;0.1,1,IF(R27&lt;1,2,IF(R27&lt;10,3,IF(R27&lt;50,4,IF(R27&gt;=50,5,""))))))</f>
        <v>1</v>
      </c>
      <c r="T27" s="212" t="n">
        <f aca="false">IF(ISERROR(S27*J27),0,S27*J27)</f>
        <v>10</v>
      </c>
      <c r="U27" s="212" t="n">
        <f aca="false">IF(ISERROR(S27*J27*K27),0,S27*J27*K27)</f>
        <v>10</v>
      </c>
      <c r="V27" s="228" t="n">
        <f aca="false">IF(ISERROR(S27*K27),0,S27*K27)</f>
        <v>1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>MELSPX</v>
      </c>
      <c r="Z27" s="197" t="n">
        <f aca="false">IF(ISERROR(MATCH(A27,'[1]liste reference'!$A$6:$A$1174,0)),IF(ISERROR(MATCH(A27,'[1]liste reference'!$B$6:$B$1174,0)),"",(MATCH(A27,'[1]liste reference'!$B$6:$B$1174,0))),(MATCH(A27,'[1]liste reference'!$A$6:$A$1174,0)))</f>
        <v>62</v>
      </c>
    </row>
    <row r="28" customFormat="false" ht="12.75" hidden="false" customHeight="false" outlineLevel="0" collapsed="false">
      <c r="A28" s="216" t="s">
        <v>85</v>
      </c>
      <c r="B28" s="217" t="n">
        <v>0</v>
      </c>
      <c r="C28" s="218" t="n">
        <v>0.01</v>
      </c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>Nostoc sp.</v>
      </c>
      <c r="E28" s="220" t="e">
        <f aca="false">IF(D28="",0,VLOOKUP(D28,D$22:D27,1,0))</f>
        <v>#N/A</v>
      </c>
      <c r="F28" s="221" t="n">
        <f aca="false">IF(AND(OR(A28="",A28="!!!!!!"),B28="",C28=""),"",IF(OR(AND(B28="",C28=""),ISERROR(C28+B28)),"!!!",($B28*$B$7+$C28*$C$7)/100))</f>
        <v>0.001</v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ALG</v>
      </c>
      <c r="H28" s="223" t="n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2</v>
      </c>
      <c r="I28" s="8" t="n">
        <f aca="false">IF(A28="","",1)</f>
        <v>1</v>
      </c>
      <c r="J28" s="224" t="n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9</v>
      </c>
      <c r="K28" s="224" t="n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1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Nostoc sp.</v>
      </c>
      <c r="M28" s="225"/>
      <c r="N28" s="225"/>
      <c r="O28" s="225"/>
      <c r="P28" s="226" t="s">
        <v>80</v>
      </c>
      <c r="Q28" s="227" t="n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1105</v>
      </c>
      <c r="R28" s="211" t="n">
        <f aca="false">IF(ISTEXT(H28),"",(B28*$B$7/100)+(C28*$C$7/100))</f>
        <v>0.001</v>
      </c>
      <c r="S28" s="212" t="n">
        <f aca="false">IF(OR(ISTEXT(H28),R28=0),"",IF(R28&lt;0.1,1,IF(R28&lt;1,2,IF(R28&lt;10,3,IF(R28&lt;50,4,IF(R28&gt;=50,5,""))))))</f>
        <v>1</v>
      </c>
      <c r="T28" s="212" t="n">
        <f aca="false">IF(ISERROR(S28*J28),0,S28*J28)</f>
        <v>9</v>
      </c>
      <c r="U28" s="212" t="n">
        <f aca="false">IF(ISERROR(S28*J28*K28),0,S28*J28*K28)</f>
        <v>9</v>
      </c>
      <c r="V28" s="228" t="n">
        <f aca="false">IF(ISERROR(S28*K28),0,S28*K28)</f>
        <v>1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>NOSSPX</v>
      </c>
      <c r="Z28" s="197" t="n">
        <f aca="false">IF(ISERROR(MATCH(A28,'[1]liste reference'!$A$6:$A$1174,0)),IF(ISERROR(MATCH(A28,'[1]liste reference'!$B$6:$B$1174,0)),"",(MATCH(A28,'[1]liste reference'!$B$6:$B$1174,0))),(MATCH(A28,'[1]liste reference'!$A$6:$A$1174,0)))</f>
        <v>84</v>
      </c>
    </row>
    <row r="29" customFormat="false" ht="12.75" hidden="false" customHeight="false" outlineLevel="0" collapsed="false">
      <c r="A29" s="216" t="s">
        <v>86</v>
      </c>
      <c r="B29" s="217" t="n">
        <v>0.01</v>
      </c>
      <c r="C29" s="218" t="n">
        <v>0.01</v>
      </c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>Oedogonium sp.</v>
      </c>
      <c r="E29" s="220" t="e">
        <f aca="false">IF(D29="",0,VLOOKUP(D29,D$22:D28,1,0))</f>
        <v>#N/A</v>
      </c>
      <c r="F29" s="221" t="n">
        <f aca="false">IF(AND(OR(A29="",A29="!!!!!!"),B29="",C29=""),"",IF(OR(AND(B29="",C29=""),ISERROR(C29+B29)),"!!!",($B29*$B$7+$C29*$C$7)/100))</f>
        <v>0.01</v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>ALG</v>
      </c>
      <c r="H29" s="223" t="n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2</v>
      </c>
      <c r="I29" s="8" t="n">
        <f aca="false">IF(A29="","",1)</f>
        <v>1</v>
      </c>
      <c r="J29" s="224" t="n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6</v>
      </c>
      <c r="K29" s="224" t="n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2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>Oedogonium sp.</v>
      </c>
      <c r="M29" s="225"/>
      <c r="N29" s="225"/>
      <c r="O29" s="225"/>
      <c r="P29" s="226" t="s">
        <v>80</v>
      </c>
      <c r="Q29" s="227" t="n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>1134</v>
      </c>
      <c r="R29" s="211" t="n">
        <f aca="false">IF(ISTEXT(H29),"",(B29*$B$7/100)+(C29*$C$7/100))</f>
        <v>0.01</v>
      </c>
      <c r="S29" s="212" t="n">
        <f aca="false">IF(OR(ISTEXT(H29),R29=0),"",IF(R29&lt;0.1,1,IF(R29&lt;1,2,IF(R29&lt;10,3,IF(R29&lt;50,4,IF(R29&gt;=50,5,""))))))</f>
        <v>1</v>
      </c>
      <c r="T29" s="212" t="n">
        <f aca="false">IF(ISERROR(S29*J29),0,S29*J29)</f>
        <v>6</v>
      </c>
      <c r="U29" s="212" t="n">
        <f aca="false">IF(ISERROR(S29*J29*K29),0,S29*J29*K29)</f>
        <v>12</v>
      </c>
      <c r="V29" s="228" t="n">
        <f aca="false">IF(ISERROR(S29*K29),0,S29*K29)</f>
        <v>2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>OEDSPX</v>
      </c>
      <c r="Z29" s="197" t="n">
        <f aca="false">IF(ISERROR(MATCH(A29,'[1]liste reference'!$A$6:$A$1174,0)),IF(ISERROR(MATCH(A29,'[1]liste reference'!$B$6:$B$1174,0)),"",(MATCH(A29,'[1]liste reference'!$B$6:$B$1174,0))),(MATCH(A29,'[1]liste reference'!$A$6:$A$1174,0)))</f>
        <v>85</v>
      </c>
    </row>
    <row r="30" customFormat="false" ht="12.75" hidden="false" customHeight="false" outlineLevel="0" collapsed="false">
      <c r="A30" s="216" t="s">
        <v>87</v>
      </c>
      <c r="B30" s="217" t="n">
        <v>0.04</v>
      </c>
      <c r="C30" s="218" t="n">
        <v>0</v>
      </c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>Phormidium sp.</v>
      </c>
      <c r="E30" s="220" t="e">
        <f aca="false">IF(D30="",0,VLOOKUP(D30,D$22:D29,1,0))</f>
        <v>#N/A</v>
      </c>
      <c r="F30" s="221" t="n">
        <f aca="false">IF(AND(OR(A30="",A30="!!!!!!"),B30="",C30=""),"",IF(OR(AND(B30="",C30=""),ISERROR(C30+B30)),"!!!",($B30*$B$7+$C30*$C$7)/100))</f>
        <v>0.036</v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>ALG</v>
      </c>
      <c r="H30" s="223" t="n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2</v>
      </c>
      <c r="I30" s="8" t="n">
        <f aca="false">IF(A30="","",1)</f>
        <v>1</v>
      </c>
      <c r="J30" s="224" t="n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13</v>
      </c>
      <c r="K30" s="224" t="n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2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>Phormidium sp.</v>
      </c>
      <c r="M30" s="225"/>
      <c r="N30" s="225"/>
      <c r="O30" s="225"/>
      <c r="P30" s="226" t="s">
        <v>80</v>
      </c>
      <c r="Q30" s="227" t="n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>6414</v>
      </c>
      <c r="R30" s="211" t="n">
        <f aca="false">IF(ISTEXT(H30),"",(B30*$B$7/100)+(C30*$C$7/100))</f>
        <v>0.036</v>
      </c>
      <c r="S30" s="212" t="n">
        <f aca="false">IF(OR(ISTEXT(H30),R30=0),"",IF(R30&lt;0.1,1,IF(R30&lt;1,2,IF(R30&lt;10,3,IF(R30&lt;50,4,IF(R30&gt;=50,5,""))))))</f>
        <v>1</v>
      </c>
      <c r="T30" s="212" t="n">
        <f aca="false">IF(ISERROR(S30*J30),0,S30*J30)</f>
        <v>13</v>
      </c>
      <c r="U30" s="212" t="n">
        <f aca="false">IF(ISERROR(S30*J30*K30),0,S30*J30*K30)</f>
        <v>26</v>
      </c>
      <c r="V30" s="228" t="n">
        <f aca="false">IF(ISERROR(S30*K30),0,S30*K30)</f>
        <v>2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>PHOSPX</v>
      </c>
      <c r="Z30" s="197" t="n">
        <f aca="false">IF(ISERROR(MATCH(A30,'[1]liste reference'!$A$6:$A$1174,0)),IF(ISERROR(MATCH(A30,'[1]liste reference'!$B$6:$B$1174,0)),"",(MATCH(A30,'[1]liste reference'!$B$6:$B$1174,0))),(MATCH(A30,'[1]liste reference'!$A$6:$A$1174,0)))</f>
        <v>88</v>
      </c>
    </row>
    <row r="31" customFormat="false" ht="12.75" hidden="false" customHeight="false" outlineLevel="0" collapsed="false">
      <c r="A31" s="216" t="s">
        <v>88</v>
      </c>
      <c r="B31" s="217" t="n">
        <v>0.01</v>
      </c>
      <c r="C31" s="218" t="n">
        <v>0</v>
      </c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>Spirogyra sp.</v>
      </c>
      <c r="E31" s="220" t="e">
        <f aca="false">IF(D31="",0,VLOOKUP(D31,D$22:D30,1,0))</f>
        <v>#N/A</v>
      </c>
      <c r="F31" s="221" t="n">
        <f aca="false">IF(AND(OR(A31="",A31="!!!!!!"),B31="",C31=""),"",IF(OR(AND(B31="",C31=""),ISERROR(C31+B31)),"!!!",($B31*$B$7+$C31*$C$7)/100))</f>
        <v>0.009</v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>ALG</v>
      </c>
      <c r="H31" s="223" t="n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2</v>
      </c>
      <c r="I31" s="8" t="n">
        <f aca="false">IF(A31="","",1)</f>
        <v>1</v>
      </c>
      <c r="J31" s="224" t="n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10</v>
      </c>
      <c r="K31" s="224" t="n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1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>Spirogyra sp.</v>
      </c>
      <c r="M31" s="225"/>
      <c r="N31" s="225"/>
      <c r="O31" s="225"/>
      <c r="P31" s="226" t="s">
        <v>80</v>
      </c>
      <c r="Q31" s="227" t="n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>1147</v>
      </c>
      <c r="R31" s="211" t="n">
        <f aca="false">IF(ISTEXT(H31),"",(B31*$B$7/100)+(C31*$C$7/100))</f>
        <v>0.009</v>
      </c>
      <c r="S31" s="212" t="n">
        <f aca="false">IF(OR(ISTEXT(H31),R31=0),"",IF(R31&lt;0.1,1,IF(R31&lt;1,2,IF(R31&lt;10,3,IF(R31&lt;50,4,IF(R31&gt;=50,5,""))))))</f>
        <v>1</v>
      </c>
      <c r="T31" s="212" t="n">
        <f aca="false">IF(ISERROR(S31*J31),0,S31*J31)</f>
        <v>10</v>
      </c>
      <c r="U31" s="212" t="n">
        <f aca="false">IF(ISERROR(S31*J31*K31),0,S31*J31*K31)</f>
        <v>10</v>
      </c>
      <c r="V31" s="228" t="n">
        <f aca="false">IF(ISERROR(S31*K31),0,S31*K31)</f>
        <v>1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>SPISPX</v>
      </c>
      <c r="Z31" s="197" t="n">
        <f aca="false">IF(ISERROR(MATCH(A31,'[1]liste reference'!$A$6:$A$1174,0)),IF(ISERROR(MATCH(A31,'[1]liste reference'!$B$6:$B$1174,0)),"",(MATCH(A31,'[1]liste reference'!$B$6:$B$1174,0))),(MATCH(A31,'[1]liste reference'!$A$6:$A$1174,0)))</f>
        <v>102</v>
      </c>
    </row>
    <row r="32" customFormat="false" ht="12.75" hidden="false" customHeight="false" outlineLevel="0" collapsed="false">
      <c r="A32" s="216" t="s">
        <v>89</v>
      </c>
      <c r="B32" s="217" t="n">
        <v>0.01</v>
      </c>
      <c r="C32" s="218" t="n">
        <v>0.01</v>
      </c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>Tribonema sp.</v>
      </c>
      <c r="E32" s="220" t="e">
        <f aca="false">IF(D32="",0,VLOOKUP(D32,D$22:D31,1,0))</f>
        <v>#N/A</v>
      </c>
      <c r="F32" s="221" t="n">
        <f aca="false">IF(AND(OR(A32="",A32="!!!!!!"),B32="",C32=""),"",IF(OR(AND(B32="",C32=""),ISERROR(C32+B32)),"!!!",($B32*$B$7+$C32*$C$7)/100))</f>
        <v>0.01</v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>ALG</v>
      </c>
      <c r="H32" s="223" t="n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2</v>
      </c>
      <c r="I32" s="8" t="n">
        <f aca="false">IF(A32="","",1)</f>
        <v>1</v>
      </c>
      <c r="J32" s="224" t="n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11</v>
      </c>
      <c r="K32" s="224" t="n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2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>Tribonema sp.</v>
      </c>
      <c r="M32" s="225"/>
      <c r="N32" s="225"/>
      <c r="O32" s="225"/>
      <c r="P32" s="226" t="s">
        <v>80</v>
      </c>
      <c r="Q32" s="227" t="n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>1167</v>
      </c>
      <c r="R32" s="211" t="n">
        <f aca="false">IF(ISTEXT(H32),"",(B32*$B$7/100)+(C32*$C$7/100))</f>
        <v>0.01</v>
      </c>
      <c r="S32" s="212" t="n">
        <f aca="false">IF(OR(ISTEXT(H32),R32=0),"",IF(R32&lt;0.1,1,IF(R32&lt;1,2,IF(R32&lt;10,3,IF(R32&lt;50,4,IF(R32&gt;=50,5,""))))))</f>
        <v>1</v>
      </c>
      <c r="T32" s="212" t="n">
        <f aca="false">IF(ISERROR(S32*J32),0,S32*J32)</f>
        <v>11</v>
      </c>
      <c r="U32" s="212" t="n">
        <f aca="false">IF(ISERROR(S32*J32*K32),0,S32*J32*K32)</f>
        <v>22</v>
      </c>
      <c r="V32" s="228" t="n">
        <f aca="false">IF(ISERROR(S32*K32),0,S32*K32)</f>
        <v>2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>TRISPX</v>
      </c>
      <c r="Z32" s="197" t="n">
        <f aca="false">IF(ISERROR(MATCH(A32,'[1]liste reference'!$A$6:$A$1174,0)),IF(ISERROR(MATCH(A32,'[1]liste reference'!$B$6:$B$1174,0)),"",(MATCH(A32,'[1]liste reference'!$B$6:$B$1174,0))),(MATCH(A32,'[1]liste reference'!$A$6:$A$1174,0)))</f>
        <v>115</v>
      </c>
    </row>
    <row r="33" customFormat="false" ht="12.75" hidden="false" customHeight="false" outlineLevel="0" collapsed="false">
      <c r="A33" s="216" t="s">
        <v>90</v>
      </c>
      <c r="B33" s="217" t="n">
        <v>0.01</v>
      </c>
      <c r="C33" s="218" t="n">
        <v>0.01</v>
      </c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>Ulothrix sp.</v>
      </c>
      <c r="E33" s="220" t="e">
        <f aca="false">IF(D33="",0,VLOOKUP(D33,D$22:D32,1,0))</f>
        <v>#N/A</v>
      </c>
      <c r="F33" s="221" t="n">
        <f aca="false">IF(AND(OR(A33="",A33="!!!!!!"),B33="",C33=""),"",IF(OR(AND(B33="",C33=""),ISERROR(C33+B33)),"!!!",($B33*$B$7+$C33*$C$7)/100))</f>
        <v>0.01</v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>ALG</v>
      </c>
      <c r="H33" s="223" t="n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2</v>
      </c>
      <c r="I33" s="8" t="n">
        <f aca="false">IF(A33="","",1)</f>
        <v>1</v>
      </c>
      <c r="J33" s="224" t="n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10</v>
      </c>
      <c r="K33" s="224" t="n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1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>Ulothrix sp.</v>
      </c>
      <c r="M33" s="225"/>
      <c r="N33" s="225"/>
      <c r="O33" s="225"/>
      <c r="P33" s="226" t="s">
        <v>80</v>
      </c>
      <c r="Q33" s="227" t="n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>1142</v>
      </c>
      <c r="R33" s="211" t="n">
        <f aca="false">IF(ISTEXT(H33),"",(B33*$B$7/100)+(C33*$C$7/100))</f>
        <v>0.01</v>
      </c>
      <c r="S33" s="212" t="n">
        <f aca="false">IF(OR(ISTEXT(H33),R33=0),"",IF(R33&lt;0.1,1,IF(R33&lt;1,2,IF(R33&lt;10,3,IF(R33&lt;50,4,IF(R33&gt;=50,5,""))))))</f>
        <v>1</v>
      </c>
      <c r="T33" s="212" t="n">
        <f aca="false">IF(ISERROR(S33*J33),0,S33*J33)</f>
        <v>10</v>
      </c>
      <c r="U33" s="212" t="n">
        <f aca="false">IF(ISERROR(S33*J33*K33),0,S33*J33*K33)</f>
        <v>10</v>
      </c>
      <c r="V33" s="228" t="n">
        <f aca="false">IF(ISERROR(S33*K33),0,S33*K33)</f>
        <v>1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>ULOSPX</v>
      </c>
      <c r="Z33" s="197" t="n">
        <f aca="false">IF(ISERROR(MATCH(A33,'[1]liste reference'!$A$6:$A$1174,0)),IF(ISERROR(MATCH(A33,'[1]liste reference'!$B$6:$B$1174,0)),"",(MATCH(A33,'[1]liste reference'!$B$6:$B$1174,0))),(MATCH(A33,'[1]liste reference'!$A$6:$A$1174,0)))</f>
        <v>116</v>
      </c>
    </row>
    <row r="34" customFormat="false" ht="12.75" hidden="false" customHeight="false" outlineLevel="0" collapsed="false">
      <c r="A34" s="216" t="s">
        <v>91</v>
      </c>
      <c r="B34" s="217" t="n">
        <v>0.01</v>
      </c>
      <c r="C34" s="218" t="n">
        <v>0.1</v>
      </c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>Vaucheria sp.</v>
      </c>
      <c r="E34" s="220" t="e">
        <f aca="false">IF(D34="",0,VLOOKUP(D34,D$22:D33,1,0))</f>
        <v>#N/A</v>
      </c>
      <c r="F34" s="221" t="n">
        <f aca="false">IF(AND(OR(A34="",A34="!!!!!!"),B34="",C34=""),"",IF(OR(AND(B34="",C34=""),ISERROR(C34+B34)),"!!!",($B34*$B$7+$C34*$C$7)/100))</f>
        <v>0.019</v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>ALG</v>
      </c>
      <c r="H34" s="223" t="n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2</v>
      </c>
      <c r="I34" s="8" t="n">
        <f aca="false">IF(A34="","",1)</f>
        <v>1</v>
      </c>
      <c r="J34" s="224" t="n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4</v>
      </c>
      <c r="K34" s="224" t="n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1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>Vaucheria sp.</v>
      </c>
      <c r="M34" s="225"/>
      <c r="N34" s="225"/>
      <c r="O34" s="225"/>
      <c r="P34" s="226" t="s">
        <v>80</v>
      </c>
      <c r="Q34" s="227" t="n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>1169</v>
      </c>
      <c r="R34" s="211" t="n">
        <f aca="false">IF(ISTEXT(H34),"",(B34*$B$7/100)+(C34*$C$7/100))</f>
        <v>0.019</v>
      </c>
      <c r="S34" s="212" t="n">
        <f aca="false">IF(OR(ISTEXT(H34),R34=0),"",IF(R34&lt;0.1,1,IF(R34&lt;1,2,IF(R34&lt;10,3,IF(R34&lt;50,4,IF(R34&gt;=50,5,""))))))</f>
        <v>1</v>
      </c>
      <c r="T34" s="212" t="n">
        <f aca="false">IF(ISERROR(S34*J34),0,S34*J34)</f>
        <v>4</v>
      </c>
      <c r="U34" s="212" t="n">
        <f aca="false">IF(ISERROR(S34*J34*K34),0,S34*J34*K34)</f>
        <v>4</v>
      </c>
      <c r="V34" s="228" t="n">
        <f aca="false">IF(ISERROR(S34*K34),0,S34*K34)</f>
        <v>1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>VAUSPX</v>
      </c>
      <c r="Z34" s="197" t="n">
        <f aca="false">IF(ISERROR(MATCH(A34,'[1]liste reference'!$A$6:$A$1174,0)),IF(ISERROR(MATCH(A34,'[1]liste reference'!$B$6:$B$1174,0)),"",(MATCH(A34,'[1]liste reference'!$B$6:$B$1174,0))),(MATCH(A34,'[1]liste reference'!$A$6:$A$1174,0)))</f>
        <v>118</v>
      </c>
    </row>
    <row r="35" customFormat="false" ht="12.75" hidden="false" customHeight="false" outlineLevel="0" collapsed="false">
      <c r="A35" s="216" t="s">
        <v>92</v>
      </c>
      <c r="B35" s="217" t="n">
        <v>0</v>
      </c>
      <c r="C35" s="218" t="n">
        <v>0.1</v>
      </c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>Pellia endiviifolia</v>
      </c>
      <c r="E35" s="220" t="e">
        <f aca="false">IF(D35="",0,VLOOKUP(D35,D$22:D34,1,0))</f>
        <v>#N/A</v>
      </c>
      <c r="F35" s="221" t="n">
        <f aca="false">IF(AND(OR(A35="",A35="!!!!!!"),B35="",C35=""),"",IF(OR(AND(B35="",C35=""),ISERROR(C35+B35)),"!!!",($B35*$B$7+$C35*$C$7)/100))</f>
        <v>0.01</v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>BRh</v>
      </c>
      <c r="H35" s="223" t="n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4</v>
      </c>
      <c r="I35" s="8" t="n">
        <f aca="false">IF(A35="","",1)</f>
        <v>1</v>
      </c>
      <c r="J35" s="224" t="str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nc</v>
      </c>
      <c r="K35" s="224" t="str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nc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>Pellia endiviifolia</v>
      </c>
      <c r="M35" s="225"/>
      <c r="N35" s="225"/>
      <c r="O35" s="225"/>
      <c r="P35" s="226" t="s">
        <v>80</v>
      </c>
      <c r="Q35" s="227" t="n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>1197</v>
      </c>
      <c r="R35" s="211" t="n">
        <f aca="false">IF(ISTEXT(H35),"",(B35*$B$7/100)+(C35*$C$7/100))</f>
        <v>0.01</v>
      </c>
      <c r="S35" s="212" t="n">
        <f aca="false">IF(OR(ISTEXT(H35),R35=0),"",IF(R35&lt;0.1,1,IF(R35&lt;1,2,IF(R35&lt;10,3,IF(R35&lt;50,4,IF(R35&gt;=50,5,""))))))</f>
        <v>1</v>
      </c>
      <c r="T35" s="212" t="n">
        <f aca="false">IF(ISERROR(S35*J35),0,S35*J35)</f>
        <v>0</v>
      </c>
      <c r="U35" s="212" t="n">
        <f aca="false">IF(ISERROR(S35*J35*K35),0,S35*J35*K35)</f>
        <v>0</v>
      </c>
      <c r="V35" s="228" t="n">
        <f aca="false">IF(ISERROR(S35*K35),0,S35*K35)</f>
        <v>0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>PELEND</v>
      </c>
      <c r="Z35" s="197" t="n">
        <f aca="false">IF(ISERROR(MATCH(A35,'[1]liste reference'!$A$6:$A$1174,0)),IF(ISERROR(MATCH(A35,'[1]liste reference'!$B$6:$B$1174,0)),"",(MATCH(A35,'[1]liste reference'!$B$6:$B$1174,0))),(MATCH(A35,'[1]liste reference'!$A$6:$A$1174,0)))</f>
        <v>167</v>
      </c>
    </row>
    <row r="36" customFormat="false" ht="12.75" hidden="false" customHeight="false" outlineLevel="0" collapsed="false">
      <c r="A36" s="216" t="s">
        <v>16</v>
      </c>
      <c r="B36" s="217" t="n">
        <v>2</v>
      </c>
      <c r="C36" s="218" t="n">
        <v>0.1</v>
      </c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>Cinclidotus aquaticus</v>
      </c>
      <c r="E36" s="220" t="e">
        <f aca="false">IF(D36="",0,VLOOKUP(D36,D$22:D35,1,0))</f>
        <v>#N/A</v>
      </c>
      <c r="F36" s="221" t="n">
        <f aca="false">IF(AND(OR(A36="",A36="!!!!!!"),B36="",C36=""),"",IF(OR(AND(B36="",C36=""),ISERROR(C36+B36)),"!!!",($B36*$B$7+$C36*$C$7)/100))</f>
        <v>1.81</v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>BRm</v>
      </c>
      <c r="H36" s="223" t="n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5</v>
      </c>
      <c r="I36" s="8" t="n">
        <f aca="false">IF(A36="","",1)</f>
        <v>1</v>
      </c>
      <c r="J36" s="224" t="n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15</v>
      </c>
      <c r="K36" s="224" t="n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2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>Cinclidotus aquaticus</v>
      </c>
      <c r="M36" s="225"/>
      <c r="N36" s="225"/>
      <c r="O36" s="225"/>
      <c r="P36" s="226" t="s">
        <v>80</v>
      </c>
      <c r="Q36" s="227" t="n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>1318</v>
      </c>
      <c r="R36" s="211" t="n">
        <f aca="false">IF(ISTEXT(H36),"",(B36*$B$7/100)+(C36*$C$7/100))</f>
        <v>1.81</v>
      </c>
      <c r="S36" s="212" t="n">
        <f aca="false">IF(OR(ISTEXT(H36),R36=0),"",IF(R36&lt;0.1,1,IF(R36&lt;1,2,IF(R36&lt;10,3,IF(R36&lt;50,4,IF(R36&gt;=50,5,""))))))</f>
        <v>3</v>
      </c>
      <c r="T36" s="212" t="n">
        <f aca="false">IF(ISERROR(S36*J36),0,S36*J36)</f>
        <v>45</v>
      </c>
      <c r="U36" s="212" t="n">
        <f aca="false">IF(ISERROR(S36*J36*K36),0,S36*J36*K36)</f>
        <v>90</v>
      </c>
      <c r="V36" s="228" t="n">
        <f aca="false">IF(ISERROR(S36*K36),0,S36*K36)</f>
        <v>6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>CINAQU</v>
      </c>
      <c r="Z36" s="197" t="n">
        <f aca="false">IF(ISERROR(MATCH(A36,'[1]liste reference'!$A$6:$A$1174,0)),IF(ISERROR(MATCH(A36,'[1]liste reference'!$B$6:$B$1174,0)),"",(MATCH(A36,'[1]liste reference'!$B$6:$B$1174,0))),(MATCH(A36,'[1]liste reference'!$A$6:$A$1174,0)))</f>
        <v>221</v>
      </c>
    </row>
    <row r="37" customFormat="false" ht="12.75" hidden="false" customHeight="false" outlineLevel="0" collapsed="false">
      <c r="A37" s="216" t="s">
        <v>93</v>
      </c>
      <c r="B37" s="217" t="n">
        <v>0</v>
      </c>
      <c r="C37" s="218" t="n">
        <v>0.01</v>
      </c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>Cinclidotus fontinaloides</v>
      </c>
      <c r="E37" s="220" t="e">
        <f aca="false">IF(D37="",0,VLOOKUP(D37,D$22:D36,1,0))</f>
        <v>#N/A</v>
      </c>
      <c r="F37" s="221" t="n">
        <f aca="false">IF(AND(OR(A37="",A37="!!!!!!"),B37="",C37=""),"",IF(OR(AND(B37="",C37=""),ISERROR(C37+B37)),"!!!",($B37*$B$7+$C37*$C$7)/100))</f>
        <v>0.001</v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>BRm</v>
      </c>
      <c r="H37" s="223" t="n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5</v>
      </c>
      <c r="I37" s="8" t="n">
        <f aca="false">IF(A37="","",1)</f>
        <v>1</v>
      </c>
      <c r="J37" s="224" t="n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12</v>
      </c>
      <c r="K37" s="224" t="n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2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>Cinclidotus fontinaloides</v>
      </c>
      <c r="M37" s="225"/>
      <c r="N37" s="225"/>
      <c r="O37" s="225"/>
      <c r="P37" s="226" t="s">
        <v>80</v>
      </c>
      <c r="Q37" s="227" t="n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>1320</v>
      </c>
      <c r="R37" s="211" t="n">
        <f aca="false">IF(ISTEXT(H37),"",(B37*$B$7/100)+(C37*$C$7/100))</f>
        <v>0.001</v>
      </c>
      <c r="S37" s="212" t="n">
        <f aca="false">IF(OR(ISTEXT(H37),R37=0),"",IF(R37&lt;0.1,1,IF(R37&lt;1,2,IF(R37&lt;10,3,IF(R37&lt;50,4,IF(R37&gt;=50,5,""))))))</f>
        <v>1</v>
      </c>
      <c r="T37" s="212" t="n">
        <f aca="false">IF(ISERROR(S37*J37),0,S37*J37)</f>
        <v>12</v>
      </c>
      <c r="U37" s="212" t="n">
        <f aca="false">IF(ISERROR(S37*J37*K37),0,S37*J37*K37)</f>
        <v>24</v>
      </c>
      <c r="V37" s="228" t="n">
        <f aca="false">IF(ISERROR(S37*K37),0,S37*K37)</f>
        <v>2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>CINFON</v>
      </c>
      <c r="Z37" s="197" t="n">
        <f aca="false">IF(ISERROR(MATCH(A37,'[1]liste reference'!$A$6:$A$1174,0)),IF(ISERROR(MATCH(A37,'[1]liste reference'!$B$6:$B$1174,0)),"",(MATCH(A37,'[1]liste reference'!$B$6:$B$1174,0))),(MATCH(A37,'[1]liste reference'!$A$6:$A$1174,0)))</f>
        <v>223</v>
      </c>
    </row>
    <row r="38" customFormat="false" ht="12.75" hidden="false" customHeight="false" outlineLevel="0" collapsed="false">
      <c r="A38" s="216" t="s">
        <v>94</v>
      </c>
      <c r="B38" s="217" t="n">
        <v>1</v>
      </c>
      <c r="C38" s="218" t="n">
        <v>0.1</v>
      </c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>Cinclidotus riparius</v>
      </c>
      <c r="E38" s="220" t="e">
        <f aca="false">IF(D38="",0,VLOOKUP(D38,D$22:D37,1,0))</f>
        <v>#N/A</v>
      </c>
      <c r="F38" s="221" t="n">
        <f aca="false">IF(AND(OR(A38="",A38="!!!!!!"),B38="",C38=""),"",IF(OR(AND(B38="",C38=""),ISERROR(C38+B38)),"!!!",($B38*$B$7+$C38*$C$7)/100))</f>
        <v>0.91</v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>BRm</v>
      </c>
      <c r="H38" s="223" t="n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5</v>
      </c>
      <c r="I38" s="8" t="n">
        <f aca="false">IF(A38="","",1)</f>
        <v>1</v>
      </c>
      <c r="J38" s="224" t="n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13</v>
      </c>
      <c r="K38" s="224" t="n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2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>Cinclidotus riparius</v>
      </c>
      <c r="M38" s="225"/>
      <c r="N38" s="225"/>
      <c r="O38" s="225"/>
      <c r="P38" s="226" t="s">
        <v>80</v>
      </c>
      <c r="Q38" s="227" t="n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>1321</v>
      </c>
      <c r="R38" s="211" t="n">
        <f aca="false">IF(ISTEXT(H38),"",(B38*$B$7/100)+(C38*$C$7/100))</f>
        <v>0.91</v>
      </c>
      <c r="S38" s="212" t="n">
        <f aca="false">IF(OR(ISTEXT(H38),R38=0),"",IF(R38&lt;0.1,1,IF(R38&lt;1,2,IF(R38&lt;10,3,IF(R38&lt;50,4,IF(R38&gt;=50,5,""))))))</f>
        <v>2</v>
      </c>
      <c r="T38" s="212" t="n">
        <f aca="false">IF(ISERROR(S38*J38),0,S38*J38)</f>
        <v>26</v>
      </c>
      <c r="U38" s="212" t="n">
        <f aca="false">IF(ISERROR(S38*J38*K38),0,S38*J38*K38)</f>
        <v>52</v>
      </c>
      <c r="V38" s="228" t="n">
        <f aca="false">IF(ISERROR(S38*K38),0,S38*K38)</f>
        <v>4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>CINRIP</v>
      </c>
      <c r="Z38" s="197" t="n">
        <f aca="false">IF(ISERROR(MATCH(A38,'[1]liste reference'!$A$6:$A$1174,0)),IF(ISERROR(MATCH(A38,'[1]liste reference'!$B$6:$B$1174,0)),"",(MATCH(A38,'[1]liste reference'!$B$6:$B$1174,0))),(MATCH(A38,'[1]liste reference'!$A$6:$A$1174,0)))</f>
        <v>224</v>
      </c>
    </row>
    <row r="39" customFormat="false" ht="12.75" hidden="false" customHeight="false" outlineLevel="0" collapsed="false">
      <c r="A39" s="216" t="s">
        <v>95</v>
      </c>
      <c r="B39" s="217" t="n">
        <v>0.01</v>
      </c>
      <c r="C39" s="218" t="n">
        <v>0</v>
      </c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>Leptodictyum riparium </v>
      </c>
      <c r="E39" s="220" t="e">
        <f aca="false">IF(D39="",0,VLOOKUP(D39,D$22:D38,1,0))</f>
        <v>#N/A</v>
      </c>
      <c r="F39" s="221" t="n">
        <f aca="false">IF(AND(OR(A39="",A39="!!!!!!"),B39="",C39=""),"",IF(OR(AND(B39="",C39=""),ISERROR(C39+B39)),"!!!",($B39*$B$7+$C39*$C$7)/100))</f>
        <v>0.009</v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>BRm</v>
      </c>
      <c r="H39" s="223" t="n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5</v>
      </c>
      <c r="I39" s="8" t="n">
        <f aca="false">IF(A39="","",1)</f>
        <v>1</v>
      </c>
      <c r="J39" s="224" t="n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5</v>
      </c>
      <c r="K39" s="224" t="n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2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>Leptodictyum riparium </v>
      </c>
      <c r="M39" s="225"/>
      <c r="N39" s="225"/>
      <c r="O39" s="225"/>
      <c r="P39" s="226" t="s">
        <v>80</v>
      </c>
      <c r="Q39" s="227" t="n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>1244</v>
      </c>
      <c r="R39" s="211" t="n">
        <f aca="false">IF(ISTEXT(H39),"",(B39*$B$7/100)+(C39*$C$7/100))</f>
        <v>0.009</v>
      </c>
      <c r="S39" s="212" t="n">
        <f aca="false">IF(OR(ISTEXT(H39),R39=0),"",IF(R39&lt;0.1,1,IF(R39&lt;1,2,IF(R39&lt;10,3,IF(R39&lt;50,4,IF(R39&gt;=50,5,""))))))</f>
        <v>1</v>
      </c>
      <c r="T39" s="212" t="n">
        <f aca="false">IF(ISERROR(S39*J39),0,S39*J39)</f>
        <v>5</v>
      </c>
      <c r="U39" s="212" t="n">
        <f aca="false">IF(ISERROR(S39*J39*K39),0,S39*J39*K39)</f>
        <v>10</v>
      </c>
      <c r="V39" s="228" t="n">
        <f aca="false">IF(ISERROR(S39*K39),0,S39*K39)</f>
        <v>2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>LEORIP</v>
      </c>
      <c r="Z39" s="197" t="n">
        <f aca="false">IF(ISERROR(MATCH(A39,'[1]liste reference'!$A$6:$A$1174,0)),IF(ISERROR(MATCH(A39,'[1]liste reference'!$B$6:$B$1174,0)),"",(MATCH(A39,'[1]liste reference'!$B$6:$B$1174,0))),(MATCH(A39,'[1]liste reference'!$A$6:$A$1174,0)))</f>
        <v>298</v>
      </c>
    </row>
    <row r="40" customFormat="false" ht="12.75" hidden="false" customHeight="false" outlineLevel="0" collapsed="false">
      <c r="A40" s="216" t="s">
        <v>96</v>
      </c>
      <c r="B40" s="217" t="n">
        <v>4.1</v>
      </c>
      <c r="C40" s="218" t="n">
        <v>0.1</v>
      </c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>Palustriella commutata</v>
      </c>
      <c r="E40" s="220" t="e">
        <f aca="false">IF(D40="",0,VLOOKUP(D40,D$22:D39,1,0))</f>
        <v>#N/A</v>
      </c>
      <c r="F40" s="221" t="n">
        <f aca="false">IF(AND(OR(A40="",A40="!!!!!!"),B40="",C40=""),"",IF(OR(AND(B40="",C40=""),ISERROR(C40+B40)),"!!!",($B40*$B$7+$C40*$C$7)/100))</f>
        <v>3.7</v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>BRm</v>
      </c>
      <c r="H40" s="223" t="n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5</v>
      </c>
      <c r="I40" s="8" t="n">
        <f aca="false">IF(A40="","",1)</f>
        <v>1</v>
      </c>
      <c r="J40" s="224" t="n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15</v>
      </c>
      <c r="K40" s="224" t="n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2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>Palustriella commutata</v>
      </c>
      <c r="M40" s="225"/>
      <c r="N40" s="225"/>
      <c r="O40" s="225"/>
      <c r="P40" s="226" t="s">
        <v>80</v>
      </c>
      <c r="Q40" s="227" t="n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>19903</v>
      </c>
      <c r="R40" s="211" t="n">
        <f aca="false">IF(ISTEXT(H40),"",(B40*$B$7/100)+(C40*$C$7/100))</f>
        <v>3.7</v>
      </c>
      <c r="S40" s="212" t="n">
        <f aca="false">IF(OR(ISTEXT(H40),R40=0),"",IF(R40&lt;0.1,1,IF(R40&lt;1,2,IF(R40&lt;10,3,IF(R40&lt;50,4,IF(R40&gt;=50,5,""))))))</f>
        <v>3</v>
      </c>
      <c r="T40" s="212" t="n">
        <f aca="false">IF(ISERROR(S40*J40),0,S40*J40)</f>
        <v>45</v>
      </c>
      <c r="U40" s="212" t="n">
        <f aca="false">IF(ISERROR(S40*J40*K40),0,S40*J40*K40)</f>
        <v>90</v>
      </c>
      <c r="V40" s="228" t="n">
        <f aca="false">IF(ISERROR(S40*K40),0,S40*K40)</f>
        <v>6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>PALCOM</v>
      </c>
      <c r="Z40" s="197" t="n">
        <f aca="false">IF(ISERROR(MATCH(A40,'[1]liste reference'!$A$6:$A$1174,0)),IF(ISERROR(MATCH(A40,'[1]liste reference'!$B$6:$B$1174,0)),"",(MATCH(A40,'[1]liste reference'!$B$6:$B$1174,0))),(MATCH(A40,'[1]liste reference'!$A$6:$A$1174,0)))</f>
        <v>309</v>
      </c>
    </row>
    <row r="41" customFormat="false" ht="12.75" hidden="false" customHeight="false" outlineLevel="0" collapsed="false">
      <c r="A41" s="216" t="s">
        <v>97</v>
      </c>
      <c r="B41" s="217" t="n">
        <v>1</v>
      </c>
      <c r="C41" s="218" t="n">
        <v>0.01</v>
      </c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>Rhynchostegium riparioides</v>
      </c>
      <c r="E41" s="220" t="e">
        <f aca="false">IF(D41="",0,VLOOKUP(D41,D$22:D40,1,0))</f>
        <v>#N/A</v>
      </c>
      <c r="F41" s="221" t="n">
        <f aca="false">IF(AND(OR(A41="",A41="!!!!!!"),B41="",C41=""),"",IF(OR(AND(B41="",C41=""),ISERROR(C41+B41)),"!!!",($B41*$B$7+$C41*$C$7)/100))</f>
        <v>0.901</v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>BRm</v>
      </c>
      <c r="H41" s="223" t="n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5</v>
      </c>
      <c r="I41" s="8" t="n">
        <f aca="false">IF(A41="","",1)</f>
        <v>1</v>
      </c>
      <c r="J41" s="224" t="n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12</v>
      </c>
      <c r="K41" s="224" t="n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1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>Rhynchostegium riparioides</v>
      </c>
      <c r="M41" s="225"/>
      <c r="N41" s="225"/>
      <c r="O41" s="225"/>
      <c r="P41" s="226" t="s">
        <v>80</v>
      </c>
      <c r="Q41" s="227" t="n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>31691</v>
      </c>
      <c r="R41" s="211" t="n">
        <f aca="false">IF(ISTEXT(H41),"",(B41*$B$7/100)+(C41*$C$7/100))</f>
        <v>0.901</v>
      </c>
      <c r="S41" s="212" t="n">
        <f aca="false">IF(OR(ISTEXT(H41),R41=0),"",IF(R41&lt;0.1,1,IF(R41&lt;1,2,IF(R41&lt;10,3,IF(R41&lt;50,4,IF(R41&gt;=50,5,""))))))</f>
        <v>2</v>
      </c>
      <c r="T41" s="212" t="n">
        <f aca="false">IF(ISERROR(S41*J41),0,S41*J41)</f>
        <v>24</v>
      </c>
      <c r="U41" s="212" t="n">
        <f aca="false">IF(ISERROR(S41*J41*K41),0,S41*J41*K41)</f>
        <v>24</v>
      </c>
      <c r="V41" s="228" t="n">
        <f aca="false">IF(ISERROR(S41*K41),0,S41*K41)</f>
        <v>2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>RHYRIP</v>
      </c>
      <c r="Z41" s="197" t="n">
        <f aca="false">IF(ISERROR(MATCH(A41,'[1]liste reference'!$A$6:$A$1174,0)),IF(ISERROR(MATCH(A41,'[1]liste reference'!$B$6:$B$1174,0)),"",(MATCH(A41,'[1]liste reference'!$B$6:$B$1174,0))),(MATCH(A41,'[1]liste reference'!$A$6:$A$1174,0)))</f>
        <v>345</v>
      </c>
    </row>
    <row r="42" customFormat="false" ht="12.75" hidden="false" customHeight="false" outlineLevel="0" collapsed="false">
      <c r="A42" s="216"/>
      <c r="B42" s="217"/>
      <c r="C42" s="218"/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20" t="n">
        <f aca="false">IF(D42="",0,VLOOKUP(D42,D$22:D41,1,0))</f>
        <v>0</v>
      </c>
      <c r="F42" s="221" t="str">
        <f aca="false">IF(AND(OR(A42="",A42="!!!!!!"),B42="",C42=""),"",IF(OR(AND(B42="",C42=""),ISERROR(C42+B42)),"!!!",($B42*$B$7+$C42*$C$7)/100))</f>
        <v/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23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8" t="str">
        <f aca="false">IF(A42="","",1)</f>
        <v/>
      </c>
      <c r="J42" s="224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24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25"/>
      <c r="N42" s="225"/>
      <c r="O42" s="225"/>
      <c r="P42" s="226" t="s">
        <v>80</v>
      </c>
      <c r="Q42" s="227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11" t="str">
        <f aca="false">IF(ISTEXT(H42),"",(B42*$B$7/100)+(C42*$C$7/100))</f>
        <v/>
      </c>
      <c r="S42" s="212" t="str">
        <f aca="false">IF(OR(ISTEXT(H42),R42=0),"",IF(R42&lt;0.1,1,IF(R42&lt;1,2,IF(R42&lt;10,3,IF(R42&lt;50,4,IF(R42&gt;=50,5,""))))))</f>
        <v/>
      </c>
      <c r="T42" s="212" t="n">
        <f aca="false">IF(ISERROR(S42*J42),0,S42*J42)</f>
        <v>0</v>
      </c>
      <c r="U42" s="212" t="n">
        <f aca="false">IF(ISERROR(S42*J42*K42),0,S42*J42*K42)</f>
        <v>0</v>
      </c>
      <c r="V42" s="228" t="n">
        <f aca="false">IF(ISERROR(S42*K42),0,S42*K42)</f>
        <v>0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7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6"/>
      <c r="B43" s="217"/>
      <c r="C43" s="218"/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20" t="n">
        <f aca="false">IF(D43="",0,VLOOKUP(D43,D$22:D42,1,0))</f>
        <v>0</v>
      </c>
      <c r="F43" s="221" t="str">
        <f aca="false">IF(AND(OR(A43="",A43="!!!!!!"),B43="",C43=""),"",IF(OR(AND(B43="",C43=""),ISERROR(C43+B43)),"!!!",($B43*$B$7+$C43*$C$7)/100))</f>
        <v/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23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8" t="str">
        <f aca="false">IF(A43="","",1)</f>
        <v/>
      </c>
      <c r="J43" s="224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24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25"/>
      <c r="N43" s="225"/>
      <c r="O43" s="225"/>
      <c r="P43" s="226" t="s">
        <v>80</v>
      </c>
      <c r="Q43" s="227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11" t="str">
        <f aca="false">IF(ISTEXT(H43),"",(B43*$B$7/100)+(C43*$C$7/100))</f>
        <v/>
      </c>
      <c r="S43" s="212" t="str">
        <f aca="false">IF(OR(ISTEXT(H43),R43=0),"",IF(R43&lt;0.1,1,IF(R43&lt;1,2,IF(R43&lt;10,3,IF(R43&lt;50,4,IF(R43&gt;=50,5,""))))))</f>
        <v/>
      </c>
      <c r="T43" s="212" t="n">
        <f aca="false">IF(ISERROR(S43*J43),0,S43*J43)</f>
        <v>0</v>
      </c>
      <c r="U43" s="212" t="n">
        <f aca="false">IF(ISERROR(S43*J43*K43),0,S43*J43*K43)</f>
        <v>0</v>
      </c>
      <c r="V43" s="228" t="n">
        <f aca="false">IF(ISERROR(S43*K43),0,S43*K43)</f>
        <v>0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7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6"/>
      <c r="B44" s="217"/>
      <c r="C44" s="218"/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20" t="n">
        <f aca="false">IF(D44="",0,VLOOKUP(D44,D$22:D43,1,0))</f>
        <v>0</v>
      </c>
      <c r="F44" s="221" t="str">
        <f aca="false">IF(AND(OR(A44="",A44="!!!!!!"),B44="",C44=""),"",IF(OR(AND(B44="",C44=""),ISERROR(C44+B44)),"!!!",($B44*$B$7+$C44*$C$7)/100))</f>
        <v/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3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4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4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5"/>
      <c r="N44" s="225"/>
      <c r="O44" s="225"/>
      <c r="P44" s="226" t="s">
        <v>80</v>
      </c>
      <c r="Q44" s="227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8" t="n">
        <f aca="false">IF(ISERROR(S44*K44),0,S44*K44)</f>
        <v>0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17"/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20" t="n">
        <f aca="false">IF(D45="",0,VLOOKUP(D45,D$22:D44,1,0))</f>
        <v>0</v>
      </c>
      <c r="F45" s="221" t="str">
        <f aca="false">IF(AND(OR(A45="",A45="!!!!!!"),B45="",C45=""),"",IF(OR(AND(B45="",C45=""),ISERROR(C45+B45)),"!!!",($B45*$B$7+$C45*$C$7)/100))</f>
        <v/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3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5"/>
      <c r="N45" s="225"/>
      <c r="O45" s="225"/>
      <c r="P45" s="226" t="s">
        <v>80</v>
      </c>
      <c r="Q45" s="227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80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80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80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80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80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80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80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80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80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80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80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80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80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80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80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80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80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80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80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80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80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80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80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80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80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80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80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80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80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80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80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80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80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80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80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80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80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7.582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38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Canal Furon</v>
      </c>
      <c r="B84" s="180" t="str">
        <f aca="false">C3</f>
        <v>Furon à Engins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11.9736842105263</v>
      </c>
      <c r="E84" s="254" t="n">
        <f aca="false">O13</f>
        <v>19</v>
      </c>
      <c r="F84" s="180" t="n">
        <f aca="false">O14</f>
        <v>17</v>
      </c>
      <c r="G84" s="180" t="n">
        <f aca="false">O15</f>
        <v>7</v>
      </c>
      <c r="H84" s="180" t="n">
        <f aca="false">O16</f>
        <v>10</v>
      </c>
      <c r="I84" s="180" t="n">
        <f aca="false">O17</f>
        <v>0</v>
      </c>
      <c r="J84" s="255" t="n">
        <f aca="false">O8</f>
        <v>10.5294117647059</v>
      </c>
      <c r="K84" s="256" t="n">
        <f aca="false">O9</f>
        <v>3.4830285513147</v>
      </c>
      <c r="L84" s="257" t="n">
        <f aca="false">O10</f>
        <v>4</v>
      </c>
      <c r="M84" s="257" t="n">
        <f aca="false">O11</f>
        <v>16</v>
      </c>
      <c r="N84" s="256" t="n">
        <f aca="false">P8</f>
        <v>1.58823529411765</v>
      </c>
      <c r="O84" s="256" t="n">
        <f aca="false">P9</f>
        <v>0.49215295678475</v>
      </c>
      <c r="P84" s="257" t="n">
        <f aca="false">P10</f>
        <v>1</v>
      </c>
      <c r="Q84" s="257" t="n">
        <f aca="false">P11</f>
        <v>2</v>
      </c>
      <c r="R84" s="257" t="n">
        <f aca="false">F21</f>
        <v>7.582</v>
      </c>
      <c r="S84" s="257" t="n">
        <f aca="false">L11</f>
        <v>0</v>
      </c>
      <c r="T84" s="257" t="n">
        <f aca="false">L12</f>
        <v>12</v>
      </c>
      <c r="U84" s="257" t="n">
        <f aca="false">L13</f>
        <v>7</v>
      </c>
      <c r="V84" s="258" t="n">
        <f aca="false">L15</f>
        <v>0</v>
      </c>
      <c r="W84" s="259" t="n">
        <f aca="false">L15</f>
        <v>0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98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99</v>
      </c>
      <c r="S87" s="8"/>
      <c r="T87" s="263" t="n">
        <f aca="false">VLOOKUP($T$91,($A$23:$U$82),20,FALSE())</f>
        <v>45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100</v>
      </c>
      <c r="S88" s="8"/>
      <c r="T88" s="263" t="n">
        <f aca="false">VLOOKUP($T$91,($A$23:$U$82),21,FALSE())</f>
        <v>90</v>
      </c>
      <c r="U88" s="8"/>
      <c r="V88" s="8" t="n">
        <f aca="false">COUNTIF(V23:V82,T89)</f>
        <v>2</v>
      </c>
    </row>
    <row r="89" customFormat="false" ht="12.75" hidden="true" customHeight="false" outlineLevel="0" collapsed="false">
      <c r="C89" s="261"/>
      <c r="D89" s="261"/>
      <c r="E89" s="261"/>
      <c r="R89" s="8" t="s">
        <v>101</v>
      </c>
      <c r="S89" s="8"/>
      <c r="T89" s="263" t="n">
        <f aca="false">MAX($V$23:$V$82)</f>
        <v>6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102</v>
      </c>
      <c r="S90" s="8" t="s">
        <v>10</v>
      </c>
      <c r="T90" s="264" t="n">
        <f aca="false">IF(OR(ISERROR(SUM($U$23:$U$82)/SUM($V$23:$V$82)),F7&lt;&gt;100),-1,(SUM($U$23:$U$82)-T88)/(SUM($V$23:$V$82)-T89))</f>
        <v>11.40625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103</v>
      </c>
      <c r="S91" s="212"/>
      <c r="T91" s="212" t="str">
        <f aca="false">INDEX('[1]liste reference'!$A$6:$A$1174,$U$91)</f>
        <v>CINAQU</v>
      </c>
      <c r="U91" s="8" t="n">
        <f aca="false">IF(ISERROR(MATCH($T$93,'[1]liste reference'!$A$6:$A$1174,0)),MATCH($T$93,'[1]liste reference'!$B$6:$B$1174,0),(MATCH($T$93,'[1]liste reference'!$A$6:$A$1174,0)))</f>
        <v>221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104</v>
      </c>
      <c r="S92" s="8"/>
      <c r="T92" s="8" t="n">
        <f aca="false">MATCH(T89,$V$23:$V$82,0)</f>
        <v>14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105</v>
      </c>
      <c r="S93" s="8"/>
      <c r="T93" s="212" t="str">
        <f aca="false">INDEX($A$23:$A$82,$T$92)</f>
        <v>CINAQU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2016-04-06T08:41:17Z</dcterms:created>
  <dc:creator>laurianne isebe</dc:creator>
  <dc:description/>
  <dc:language>fr-FR</dc:language>
  <cp:lastModifiedBy>laurianne isebe</cp:lastModifiedBy>
  <dcterms:modified xsi:type="dcterms:W3CDTF">2016-04-06T08:41:21Z</dcterms:modified>
  <cp:revision>0</cp:revision>
  <dc:subject/>
  <dc:title/>
</cp:coreProperties>
</file>