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Paillon de Cont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'Paillon de Contes'!$A$1:$O$82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'Paillon de Contes'!$A$23:$J$84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<sst xmlns="http://schemas.openxmlformats.org/spreadsheetml/2006/main" count="7363" uniqueCount="2736">
  <si>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</si>
  <si>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</si>
  <si>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</si>
  <si>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</si>
  <si>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</si>
  <si>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</si>
  <si>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</si>
  <si>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</si>
  <si>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</si>
  <si>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</si>
  <si>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</si>
  <si>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</si>
  <si>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</si>
  <si>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</si>
  <si>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</si>
  <si>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</si>
  <si>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</si>
  <si>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</si>
  <si>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</si>
  <si>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</si>
  <si>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</si>
  <si>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</si>
  <si>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</si>
  <si>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</si>
  <si>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</si>
  <si>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</si>
  <si>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</si>
  <si>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</si>
  <si>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</si>
  <si>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</si>
  <si>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</si>
  <si>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</si>
  <si>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</si>
  <si>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</si>
  <si>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</si>
  <si>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</si>
  <si>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</si>
  <si>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</si>
  <si>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</si>
  <si>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</si>
  <si>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</si>
  <si>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</si>
  <si>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</si>
  <si>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</si>
  <si>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</si>
  <si>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</si>
  <si>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</si>
  <si>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</si>
  <si>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</si>
  <si>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</si>
  <si>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</si>
  <si>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</si>
  <si>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</si>
  <si>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</si>
  <si>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</si>
  <si>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</si>
  <si>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</si>
  <si>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</si>
  <si>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</si>
  <si>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</si>
  <si>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</si>
  <si>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</si>
  <si>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</si>
  <si>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</si>
  <si>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</si>
  <si>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</si>
  <si>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</si>
  <si>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</si>
  <si>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</si>
  <si>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</si>
  <si>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</si>
  <si>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</si>
  <si>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</si>
  <si>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</si>
  <si>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</si>
  <si>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</si>
  <si>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</si>
  <si>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</si>
  <si>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</si>
  <si>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</si>
  <si>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</si>
  <si>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</si>
  <si>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</si>
  <si>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</si>
  <si>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</si>
  <si>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</si>
  <si>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</si>
  <si>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</si>
  <si>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</si>
  <si>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</si>
  <si>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</si>
  <si>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</si>
  <si>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</si>
  <si>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</si>
  <si>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</si>
  <si>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</si>
  <si>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</si>
  <si>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</si>
  <si>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</si>
  <si>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</si>
  <si>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</si>
  <si>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</si>
  <si>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</si>
  <si>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</si>
  <si>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</si>
  <si>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</si>
  <si>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</si>
  <si>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</si>
  <si>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</si>
  <si>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</si>
  <si>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</si>
  <si>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</si>
  <si>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</si>
  <si>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</si>
  <si>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</si>
  <si>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</si>
  <si>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</si>
  <si>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</si>
  <si>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</si>
  <si>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</si>
  <si>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</si>
  <si>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</si>
  <si>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</si>
  <si>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</si>
  <si>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</si>
  <si>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</si>
  <si>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</si>
  <si>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</si>
  <si>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</si>
  <si>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</si>
  <si>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</si>
  <si>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</si>
  <si>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</si>
  <si>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</si>
  <si>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</si>
  <si>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</si>
  <si>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</si>
  <si>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</si>
  <si>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</si>
  <si>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</si>
  <si>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</si>
  <si>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</si>
  <si>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</si>
  <si>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</si>
  <si>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</si>
  <si>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</si>
  <si>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</si>
  <si>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</si>
  <si>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</si>
  <si>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</si>
  <si>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</si>
  <si>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</si>
  <si>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</si>
  <si>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</si>
  <si>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</si>
  <si>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</si>
  <si>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</si>
  <si>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</si>
  <si>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</si>
  <si>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</si>
  <si>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</si>
  <si>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</si>
  <si>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</si>
  <si>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</si>
  <si>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</si>
  <si>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</si>
  <si>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</si>
  <si>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</si>
  <si>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</si>
  <si>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</si>
  <si>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</si>
  <si>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</si>
  <si>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</si>
  <si>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</si>
  <si>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</si>
  <si>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</si>
  <si>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</si>
  <si>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</si>
  <si>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</si>
  <si>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</si>
  <si>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</si>
  <si>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</si>
  <si>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</si>
  <si>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</si>
  <si>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</si>
  <si>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</si>
  <si>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</si>
  <si>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</si>
  <si>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</si>
  <si>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</si>
  <si>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</si>
  <si>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</si>
  <si>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</si>
  <si>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</si>
  <si>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</si>
  <si>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</si>
  <si>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</si>
  <si>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</si>
  <si>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</si>
  <si>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</si>
  <si>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</si>
  <si>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</si>
  <si>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</si>
  <si>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</si>
  <si>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</si>
  <si>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</si>
  <si>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</si>
  <si>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</si>
  <si>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</si>
  <si>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</si>
  <si>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</si>
  <si>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</si>
  <si>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</si>
  <si>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</si>
  <si>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</si>
  <si>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</si>
  <si>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</si>
  <si>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</si>
  <si>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</si>
  <si>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</si>
  <si>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</si>
  <si>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</si>
  <si>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</si>
  <si>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</si>
  <si>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</si>
  <si>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</si>
  <si>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</si>
  <si>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</si>
  <si>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</si>
  <si>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</si>
  <si>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</si>
  <si>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</si>
  <si>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</si>
  <si>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</si>
  <si>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</si>
  <si>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</si>
  <si>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</si>
  <si>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</si>
  <si>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</si>
  <si>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</si>
  <si>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</si>
  <si>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</si>
  <si>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</si>
  <si>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</si>
  <si>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</si>
  <si>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</si>
  <si>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</si>
  <si>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</si>
  <si>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</si>
  <si>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</si>
  <si>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</si>
  <si>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</si>
  <si>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</si>
  <si>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</si>
  <si>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</si>
  <si>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</si>
  <si>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</si>
  <si>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</si>
  <si>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</si>
  <si>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</si>
  <si>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</si>
  <si>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</si>
  <si>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</si>
  <si>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</si>
  <si>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</si>
  <si>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</si>
  <si>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</si>
  <si>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</si>
  <si>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</si>
  <si>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</si>
  <si>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</si>
  <si>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</si>
  <si>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</si>
  <si>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</si>
  <si>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</si>
  <si>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</si>
  <si>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</si>
  <si>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</si>
  <si>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</si>
  <si>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</si>
  <si>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</si>
  <si>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</si>
  <si>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</si>
  <si>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</si>
  <si>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</si>
  <si>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</si>
  <si>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</si>
  <si>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</si>
  <si>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</si>
  <si>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</si>
  <si>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</si>
  <si>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</si>
  <si>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</si>
  <si>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</si>
  <si>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</si>
  <si>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</si>
  <si>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</si>
  <si>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</si>
  <si>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</si>
  <si>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</si>
  <si>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</si>
  <si>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</si>
  <si>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</si>
  <si>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</si>
  <si>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</si>
  <si>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</si>
  <si>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</si>
  <si>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</si>
  <si>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</si>
  <si>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</si>
  <si>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</si>
  <si>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</si>
  <si>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</si>
  <si>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</si>
  <si>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</si>
  <si>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</si>
  <si>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</si>
  <si>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</si>
  <si>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</si>
  <si>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</si>
  <si>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</si>
  <si>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</si>
  <si>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</si>
  <si>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</si>
  <si>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</si>
  <si>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</si>
  <si>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</si>
  <si>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</si>
  <si>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</si>
  <si>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</si>
  <si>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</si>
  <si>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</si>
  <si>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</si>
  <si>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</si>
  <si>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</si>
  <si>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</si>
  <si>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</si>
  <si>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</si>
  <si>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</si>
  <si>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</si>
  <si>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</si>
  <si>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</si>
  <si>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</si>
  <si>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</si>
  <si>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</si>
  <si>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</si>
  <si>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</si>
  <si>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</si>
  <si>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</si>
  <si>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</si>
  <si>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</si>
  <si>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</si>
  <si>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</si>
  <si>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</si>
  <si>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</si>
  <si>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</si>
  <si>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</si>
  <si>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</si>
  <si>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</si>
  <si>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</si>
  <si>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</si>
  <si>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</si>
  <si>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</si>
  <si>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</si>
  <si>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</si>
  <si>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</si>
  <si>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</si>
  <si>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</si>
  <si>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</si>
  <si>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</si>
  <si>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</si>
  <si>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</si>
  <si>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</si>
  <si>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</si>
  <si>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</si>
  <si>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</si>
  <si>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</si>
  <si>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</si>
  <si>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</si>
  <si>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</si>
  <si>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</si>
  <si>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</si>
  <si>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</si>
  <si>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</si>
  <si>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</si>
  <si>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</si>
  <si>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</si>
  <si>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</si>
  <si>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</si>
  <si>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</si>
  <si>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</si>
  <si>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</si>
  <si>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</si>
  <si>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</si>
  <si>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</si>
  <si>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</si>
  <si>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</si>
  <si>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</si>
  <si>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</si>
  <si>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</si>
  <si>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</si>
  <si>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</si>
  <si>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</si>
  <si>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</si>
  <si>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</si>
  <si>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</si>
  <si>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</si>
  <si>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</si>
  <si>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</si>
  <si>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</si>
  <si>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</si>
  <si>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</si>
  <si>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</si>
  <si>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</si>
  <si>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</si>
  <si>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</si>
  <si>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</si>
  <si>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</si>
  <si>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</si>
  <si>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</si>
  <si>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</si>
  <si>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</si>
  <si>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</si>
  <si>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</si>
  <si>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</si>
  <si>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</si>
  <si>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</si>
  <si>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</si>
  <si>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</si>
  <si>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</si>
  <si>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</si>
  <si>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</si>
  <si>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</si>
  <si>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</si>
  <si>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</si>
  <si>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</si>
  <si>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</si>
  <si>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</si>
  <si>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</si>
  <si>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</si>
  <si>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</si>
  <si>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</si>
  <si>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</si>
  <si>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</si>
  <si>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</si>
  <si>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</si>
  <si>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</si>
  <si>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</si>
  <si>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</si>
  <si>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</si>
  <si>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</si>
  <si>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</si>
  <si>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</si>
  <si>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</si>
  <si>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</si>
  <si>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</si>
  <si>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</si>
  <si>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</si>
  <si>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</si>
  <si>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</si>
  <si>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</si>
  <si>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</si>
  <si>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</si>
  <si>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</si>
  <si>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</si>
  <si>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</si>
  <si>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</si>
  <si>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</si>
  <si>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</si>
  <si>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</si>
  <si>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</si>
  <si>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</si>
  <si>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</si>
  <si>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</si>
  <si>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</si>
  <si>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</si>
  <si>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</si>
  <si>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</si>
  <si>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</si>
  <si>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</si>
  <si>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</si>
  <si>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</si>
  <si>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</si>
  <si>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</si>
  <si>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</si>
  <si>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</si>
  <si>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</si>
  <si>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</si>
  <si>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</si>
  <si>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</si>
  <si>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</si>
  <si>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</si>
  <si>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</si>
  <si>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</si>
  <si>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</si>
  <si>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</si>
  <si>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</si>
  <si>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</si>
  <si>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</si>
  <si>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</si>
  <si>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</si>
  <si>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</si>
  <si>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</si>
  <si>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</si>
  <si>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</si>
  <si>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</si>
  <si>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</si>
  <si>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</si>
  <si>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</si>
  <si>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</si>
  <si>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</si>
  <si>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</si>
  <si>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</si>
  <si>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</si>
  <si>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</si>
  <si>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</si>
  <si>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</si>
  <si>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</si>
  <si>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</si>
  <si>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</si>
  <si>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</si>
  <si>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</si>
  <si>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</si>
  <si>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</si>
  <si>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</si>
  <si>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</si>
  <si>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</si>
  <si>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</si>
  <si>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</si>
  <si>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</si>
  <si>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</si>
  <si>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</si>
  <si>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</si>
  <si>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</si>
  <si>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</si>
  <si>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</si>
  <si>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</si>
  <si>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</si>
  <si>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</si>
  <si>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</si>
  <si>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</si>
  <si>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</si>
  <si>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</si>
  <si>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</si>
  <si>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</si>
  <si>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</si>
  <si>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</si>
  <si>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</si>
  <si>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</si>
  <si>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</si>
  <si>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</si>
  <si>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</si>
  <si>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</si>
  <si>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</si>
  <si>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</si>
  <si>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</si>
  <si>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</si>
  <si>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</si>
  <si>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</si>
  <si>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</si>
  <si>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</si>
  <si>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</si>
  <si>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</si>
  <si>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</si>
  <si>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</si>
  <si>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</si>
  <si>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</si>
  <si>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</si>
  <si>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</si>
  <si>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</si>
  <si>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</si>
  <si>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</si>
  <si>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</si>
  <si>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</si>
  <si>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</si>
  <si>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</si>
  <si>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</si>
  <si>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</si>
  <si>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</si>
  <si>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</si>
  <si>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</si>
  <si>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</si>
  <si>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</si>
  <si>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</si>
  <si>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</si>
  <si>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</si>
  <si>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</si>
  <si>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</si>
  <si>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</si>
  <si>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</si>
  <si>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</si>
  <si>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</si>
  <si>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</si>
  <si>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</si>
  <si>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</si>
  <si>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</si>
  <si>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</si>
  <si>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</si>
  <si>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</si>
  <si>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</si>
  <si>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</si>
  <si>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</si>
  <si>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</si>
  <si>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</si>
  <si>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</si>
  <si>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</si>
  <si>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</si>
  <si>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</si>
  <si>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</si>
  <si>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</si>
  <si>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</si>
  <si>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</si>
  <si>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</si>
  <si>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</si>
  <si>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</si>
  <si>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</si>
  <si>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</si>
  <si>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</si>
  <si>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</si>
  <si>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</si>
  <si>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</si>
  <si>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</si>
  <si>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</si>
  <si>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</si>
  <si>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</si>
  <si>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</si>
  <si>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</si>
  <si>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</si>
  <si>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</si>
  <si>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</si>
  <si>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</si>
  <si>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</si>
  <si>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</si>
  <si>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</si>
  <si>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</si>
  <si>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</si>
  <si>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</si>
  <si>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</si>
  <si>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</si>
  <si>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</si>
  <si>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</si>
  <si>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</si>
  <si>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</si>
  <si>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</si>
  <si>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</si>
  <si>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</si>
  <si>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</si>
  <si>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</si>
  <si>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</si>
  <si>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</si>
  <si>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</si>
  <si>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</si>
  <si>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</si>
  <si>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</si>
  <si>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</si>
  <si>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</si>
  <si>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</si>
  <si>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</si>
  <si>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</si>
  <si>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</si>
  <si>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</si>
  <si>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</si>
  <si>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</si>
  <si>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</si>
  <si>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</si>
  <si>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</si>
  <si>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</si>
  <si>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</si>
  <si>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</si>
  <si>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</si>
  <si>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</si>
  <si>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</si>
  <si>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</si>
  <si>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</si>
  <si>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</si>
  <si>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</si>
  <si>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</si>
  <si>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</si>
  <si>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</si>
  <si>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</si>
  <si>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</si>
  <si>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</si>
  <si>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</si>
  <si>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</si>
  <si>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</si>
  <si>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</si>
  <si>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</si>
  <si>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</si>
  <si>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</si>
  <si>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</si>
  <si>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</si>
  <si>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</si>
  <si>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</si>
  <si>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</si>
  <si>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</si>
  <si>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</si>
  <si>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</si>
  <si>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</si>
  <si>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</si>
  <si>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</si>
  <si>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</si>
  <si>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</si>
  <si>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</si>
  <si>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</si>
  <si>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</si>
  <si>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</si>
  <si>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</si>
  <si>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</si>
  <si>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</si>
  <si>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</si>
  <si>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</si>
  <si>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</si>
  <si>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</si>
  <si>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</si>
  <si>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</si>
  <si>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</si>
  <si>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</si>
  <si>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</si>
  <si>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</si>
  <si>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</si>
  <si>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</si>
  <si>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</si>
  <si>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</si>
  <si>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</si>
  <si>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</si>
  <si>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</si>
  <si>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</si>
  <si>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</si>
  <si>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</si>
  <si>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</si>
  <si>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</si>
  <si>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</si>
  <si>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</si>
  <si>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</si>
  <si>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</si>
  <si>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</si>
  <si>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</si>
  <si>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</si>
  <si>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</si>
  <si>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</si>
  <si>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</si>
  <si>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</si>
  <si>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</si>
  <si>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</si>
  <si>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</si>
  <si>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</si>
  <si>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</si>
  <si>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</si>
  <si>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</si>
  <si>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</si>
  <si>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</si>
  <si>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</si>
  <si>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</si>
  <si>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</si>
  <si>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</si>
  <si>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</si>
  <si>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</si>
  <si>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</si>
  <si>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</si>
  <si>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</si>
  <si>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</si>
  <si>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</si>
  <si>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</si>
  <si>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</si>
  <si>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</si>
  <si>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</si>
  <si>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</si>
  <si>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</si>
  <si>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</si>
  <si>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</si>
  <si>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</si>
  <si>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</si>
  <si>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</si>
  <si>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</si>
  <si>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</si>
  <si>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</si>
  <si>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</si>
  <si>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</si>
  <si>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</si>
  <si>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</si>
  <si>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</si>
  <si>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</si>
  <si>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</si>
  <si>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</si>
  <si>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</si>
  <si>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</si>
  <si>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</si>
  <si>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</si>
  <si>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</si>
  <si>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</si>
  <si>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</si>
  <si>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</si>
  <si>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</si>
  <si>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</si>
  <si>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</si>
  <si>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</si>
  <si>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</si>
  <si>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</si>
  <si>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</si>
  <si>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</si>
  <si>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</si>
  <si>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</si>
  <si>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</si>
  <si>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</si>
  <si>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</si>
  <si>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</si>
  <si>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</si>
  <si>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</si>
  <si>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</si>
  <si>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</si>
  <si>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</si>
  <si>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</si>
  <si>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</si>
  <si>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</si>
  <si>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</si>
  <si>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</si>
  <si>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</si>
  <si>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</si>
  <si>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</si>
  <si>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</si>
  <si>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</si>
  <si>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</si>
  <si>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</si>
  <si>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</si>
  <si>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</si>
  <si>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</si>
  <si>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</si>
  <si>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</si>
  <si>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</si>
  <si>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</si>
  <si>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</si>
  <si>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</si>
  <si>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</si>
  <si>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</si>
  <si>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</si>
  <si>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</si>
  <si>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</si>
  <si>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</si>
  <si>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</si>
  <si>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</si>
  <si>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</si>
  <si>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</si>
  <si>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</si>
  <si>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</si>
  <si>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</si>
  <si>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</si>
  <si>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</si>
  <si>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</si>
  <si>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</si>
  <si>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</si>
  <si>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</si>
  <si>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</si>
  <si>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</si>
  <si>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</si>
  <si>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</si>
  <si>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</si>
  <si>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</si>
  <si>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</si>
  <si>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</si>
  <si>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</si>
  <si>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</si>
  <si>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</si>
  <si>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</si>
  <si>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</si>
  <si>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</si>
  <si>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</si>
  <si>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</si>
  <si>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</si>
  <si>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</si>
  <si>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</si>
  <si>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</si>
  <si>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</si>
  <si>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</si>
  <si>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</si>
  <si>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</si>
  <si>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</si>
  <si>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</si>
  <si>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</si>
  <si>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</si>
  <si>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</si>
  <si>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</si>
  <si>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</si>
  <si>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</si>
  <si>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</si>
  <si>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</si>
  <si>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</si>
  <si>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</si>
  <si>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</si>
  <si>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</si>
  <si>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</si>
  <si>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</si>
  <si>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</si>
  <si>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</si>
  <si>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</si>
  <si>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</si>
  <si>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</si>
  <si>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</si>
  <si>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</si>
  <si>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</si>
  <si>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</si>
  <si>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</si>
  <si>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</si>
  <si>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</si>
  <si>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</si>
  <si>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</si>
  <si>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</si>
  <si>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</si>
  <si>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</si>
  <si>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</si>
  <si>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</si>
  <si>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</si>
  <si>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</si>
  <si>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</si>
  <si>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</si>
  <si>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</si>
  <si>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</si>
  <si>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</si>
  <si>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</si>
  <si>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</si>
  <si>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</si>
  <si>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</si>
  <si>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</si>
  <si>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</si>
  <si>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</si>
  <si>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</si>
  <si>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</si>
  <si>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</si>
  <si>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</si>
  <si>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</si>
  <si>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</si>
  <si>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</si>
  <si>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</si>
  <si>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</si>
  <si>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</si>
  <si>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</si>
  <si>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</si>
  <si>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</si>
  <si>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</si>
  <si>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</si>
  <si>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</si>
  <si>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</si>
  <si>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</si>
  <si>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</si>
  <si>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</si>
  <si>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</si>
  <si>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</si>
  <si>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</si>
  <si>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</si>
  <si>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</si>
  <si>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</si>
  <si>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</si>
  <si>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</si>
  <si>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</si>
  <si>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</si>
  <si>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</si>
  <si>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</si>
  <si>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</si>
  <si>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</si>
  <si>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</si>
  <si>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</si>
  <si>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</si>
  <si>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</si>
  <si>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</si>
  <si>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</si>
  <si>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</si>
  <si>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</si>
  <si>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</si>
  <si>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</si>
  <si>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</si>
  <si>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</si>
  <si>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</si>
  <si>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</si>
  <si>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</si>
  <si>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</si>
  <si>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</si>
  <si>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</si>
  <si>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</si>
  <si>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</si>
  <si>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</si>
  <si>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</si>
  <si>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</si>
  <si>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</si>
  <si>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</si>
  <si>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</si>
  <si>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</si>
  <si>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</si>
  <si>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</si>
  <si>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</si>
  <si>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</si>
  <si>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</si>
  <si>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</si>
  <si>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</si>
  <si>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</si>
  <si>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</si>
  <si>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</si>
  <si>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</si>
  <si>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</si>
  <si>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</si>
  <si>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</si>
  <si>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</si>
  <si>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</si>
  <si>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</si>
  <si>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</si>
  <si>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</si>
  <si>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</si>
  <si>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</si>
  <si>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</si>
  <si>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</si>
  <si>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</si>
  <si>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</si>
  <si>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</si>
  <si>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</si>
  <si>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</si>
  <si>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</si>
  <si>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</si>
  <si>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</si>
  <si>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</si>
  <si>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</si>
  <si>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</si>
  <si>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</si>
  <si>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</si>
  <si>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</si>
  <si>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</si>
  <si>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</si>
  <si>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</si>
  <si>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</si>
  <si>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</si>
  <si>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</si>
  <si>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</si>
  <si>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</si>
  <si>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</si>
  <si>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</si>
  <si>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</si>
  <si>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</si>
  <si>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</si>
  <si>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</si>
  <si>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</si>
  <si>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</si>
  <si>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</si>
  <si>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</si>
  <si>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</si>
  <si>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</si>
  <si>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</si>
  <si>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</si>
  <si>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</si>
  <si>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</si>
  <si>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</si>
  <si>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</si>
  <si>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</si>
  <si>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</si>
  <si>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</si>
  <si>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</si>
  <si>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</si>
  <si>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</si>
  <si>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</si>
  <si>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</si>
  <si>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</si>
  <si>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</si>
  <si>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</si>
  <si>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</si>
  <si>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</si>
  <si>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</si>
  <si>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</si>
  <si>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</si>
  <si>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</si>
  <si>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</si>
  <si>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</si>
  <si>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</si>
  <si>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</si>
  <si>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</si>
  <si>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</si>
  <si>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</si>
  <si>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</si>
  <si>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</si>
  <si>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</si>
  <si>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</si>
  <si>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</si>
  <si>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</si>
  <si>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</si>
  <si>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</si>
  <si>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</si>
  <si>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</si>
  <si>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</si>
  <si>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</si>
  <si>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</si>
  <si>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</si>
  <si>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</si>
  <si>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</si>
  <si>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</si>
  <si>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</si>
  <si>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</si>
  <si>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</si>
  <si>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</si>
  <si>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</si>
  <si>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</si>
  <si>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</si>
  <si>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</si>
  <si>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</si>
  <si>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</si>
  <si>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</si>
  <si>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</si>
  <si>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</si>
  <si>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</si>
  <si>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</si>
  <si>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</si>
  <si>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</si>
  <si>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</si>
  <si>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</si>
  <si>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</si>
  <si>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</si>
  <si>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</si>
  <si>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</si>
  <si>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</si>
  <si>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</si>
  <si>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</si>
  <si>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</si>
  <si>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</si>
  <si>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</si>
  <si>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</si>
  <si>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</si>
  <si>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</si>
  <si>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</si>
  <si>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</si>
  <si>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</si>
  <si>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</si>
  <si>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</si>
  <si>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</si>
  <si>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</si>
  <si>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</si>
  <si>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</si>
  <si>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</si>
  <si>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</si>
  <si>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</si>
  <si>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</si>
  <si>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</si>
  <si>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</si>
  <si>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</si>
  <si>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</si>
  <si>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</si>
  <si>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</si>
  <si>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</si>
  <si>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</si>
  <si>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</si>
  <si>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</si>
  <si>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</si>
  <si>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</si>
  <si>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</si>
  <si>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</si>
  <si>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</si>
  <si>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</si>
  <si>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</si>
  <si>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</si>
  <si>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</si>
  <si>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</si>
  <si>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</si>
  <si>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</si>
  <si>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</si>
  <si>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</si>
  <si>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</si>
  <si>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</si>
  <si>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</si>
  <si>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</si>
  <si>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</si>
  <si>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</si>
  <si>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</si>
  <si>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</si>
  <si>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</si>
  <si>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</si>
  <si>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</si>
  <si>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</si>
  <si>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</si>
  <si>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</si>
  <si>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</si>
  <si>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</si>
  <si>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</si>
  <si>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</si>
  <si>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</si>
  <si>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</si>
  <si>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</si>
  <si>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</si>
  <si>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</si>
  <si>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</si>
  <si>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</si>
  <si>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</si>
  <si>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</si>
  <si>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</si>
  <si>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</si>
  <si>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</si>
  <si>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</si>
  <si>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</si>
  <si>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</si>
  <si>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</si>
  <si>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</si>
  <si>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</si>
  <si>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</si>
  <si>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</si>
  <si>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</si>
  <si>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</si>
  <si>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</si>
  <si>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</si>
  <si>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</si>
  <si>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</si>
  <si>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</si>
  <si>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</si>
  <si>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</si>
  <si>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</si>
  <si>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</si>
  <si>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</si>
  <si>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</si>
  <si>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</si>
  <si>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</si>
  <si>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</si>
  <si>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</si>
  <si>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</si>
  <si>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</si>
  <si>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</si>
  <si>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</si>
  <si>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</si>
  <si>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</si>
  <si>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</si>
  <si>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</si>
  <si>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</si>
  <si>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</si>
  <si>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</si>
  <si>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</si>
  <si>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</si>
  <si>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</si>
  <si>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</si>
  <si>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</si>
  <si>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</si>
  <si>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</si>
  <si>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</si>
  <si>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</si>
  <si>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</si>
  <si>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</si>
  <si>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</si>
  <si>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</si>
  <si>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</si>
  <si>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</si>
  <si>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</si>
  <si>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</si>
  <si>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</si>
  <si>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</si>
  <si>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</si>
  <si>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</si>
  <si>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</si>
  <si>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</si>
  <si>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</si>
  <si>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</si>
  <si>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</si>
  <si>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</si>
  <si>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</si>
  <si>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</si>
  <si>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</si>
  <si>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</si>
  <si>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</si>
  <si>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</si>
  <si>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</si>
  <si>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</si>
  <si>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</si>
  <si>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</si>
  <si>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</si>
  <si>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</si>
  <si>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</si>
  <si>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</si>
  <si>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</si>
  <si>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</si>
  <si>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</si>
  <si>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</si>
  <si>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</si>
  <si>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</si>
  <si>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</si>
  <si>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</si>
  <si>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</si>
  <si>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</si>
  <si>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</si>
  <si>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</si>
  <si>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</si>
  <si>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</si>
  <si>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</si>
  <si>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</si>
  <si>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</si>
  <si>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</si>
  <si>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</si>
  <si>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</si>
  <si>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</si>
  <si>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</si>
  <si>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</si>
  <si>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</si>
  <si>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</si>
  <si>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</si>
  <si>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</si>
  <si>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</si>
  <si>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</si>
  <si>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</si>
  <si>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</si>
  <si>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</si>
  <si>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</si>
  <si>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</si>
  <si>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</si>
  <si>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</si>
  <si>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</si>
  <si>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</si>
  <si>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</si>
  <si>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</si>
  <si>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</si>
  <si>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</si>
  <si>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</si>
  <si>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</si>
  <si>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</si>
  <si>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</si>
  <si>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</si>
  <si>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</si>
  <si>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</si>
  <si>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</si>
  <si>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</si>
  <si>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</si>
  <si>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</si>
  <si>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</si>
  <si>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</si>
  <si>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</si>
  <si>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</si>
  <si>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</si>
  <si>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</si>
  <si>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</si>
  <si>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</si>
  <si>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</si>
  <si>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</si>
  <si>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</si>
  <si>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</si>
  <si>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</si>
  <si>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</si>
  <si>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</si>
  <si>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</si>
  <si>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</si>
  <si>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</si>
  <si>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</si>
  <si>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</si>
  <si>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</si>
  <si>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</si>
  <si>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</si>
  <si>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</si>
  <si>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</si>
  <si>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</si>
  <si>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</si>
  <si>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</si>
  <si>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</si>
  <si>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</si>
  <si>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</si>
  <si>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</si>
  <si>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</si>
  <si>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</si>
  <si>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</si>
  <si>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</si>
  <si>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</si>
  <si>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</si>
  <si>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</si>
  <si>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</si>
  <si>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</si>
  <si>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</si>
  <si>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</si>
  <si>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</si>
  <si>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</si>
  <si>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</si>
  <si>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</si>
  <si>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</si>
  <si>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</si>
  <si>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</si>
  <si>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</si>
  <si>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</si>
  <si>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</si>
  <si>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</si>
  <si>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</si>
  <si>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</si>
  <si>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</si>
  <si>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</si>
  <si>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</si>
  <si>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</si>
  <si>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</si>
  <si>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</si>
  <si>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</si>
  <si>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</si>
  <si>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</si>
  <si>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</si>
  <si>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</si>
  <si>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</si>
  <si>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</si>
  <si>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</si>
  <si>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</si>
  <si>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</si>
  <si>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</si>
  <si>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</si>
  <si>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</si>
  <si>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</si>
  <si>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</si>
  <si>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</si>
  <si>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</si>
  <si>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</si>
  <si>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</si>
  <si>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</si>
  <si>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</si>
  <si>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</si>
  <si>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</si>
  <si>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</si>
  <si>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</si>
  <si>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</si>
  <si>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</si>
  <si>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</si>
  <si>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</si>
  <si>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</si>
  <si>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</si>
  <si>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</si>
  <si>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</si>
  <si>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</si>
  <si>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</si>
  <si>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</si>
  <si>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</si>
  <si>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</si>
  <si>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</si>
  <si>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</si>
  <si>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</si>
  <si>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</si>
  <si>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</si>
  <si>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</si>
  <si>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</si>
  <si>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</si>
  <si>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</si>
  <si>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</si>
  <si>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</si>
  <si>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</si>
  <si>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</si>
  <si>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</si>
  <si>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</si>
  <si>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</si>
  <si>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</si>
  <si>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</si>
  <si>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</si>
  <si>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</si>
  <si>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</si>
  <si>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</si>
  <si>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</si>
  <si>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</si>
  <si>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</si>
  <si>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</si>
  <si>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</si>
  <si>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</si>
  <si>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</si>
  <si>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</si>
  <si>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</si>
  <si>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</si>
  <si>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</si>
  <si>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</si>
  <si>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</si>
  <si>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</si>
  <si>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</si>
  <si>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</si>
  <si>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</si>
  <si>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</si>
  <si>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</si>
  <si>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</si>
  <si>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</si>
  <si>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</si>
  <si>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</si>
  <si>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</si>
  <si>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</si>
  <si>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</si>
  <si>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</si>
  <si>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</si>
  <si>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</si>
  <si>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</si>
  <si>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</si>
  <si>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</si>
  <si>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</si>
  <si>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</si>
  <si>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</si>
  <si>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</si>
  <si>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</si>
  <si>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</si>
  <si>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</si>
  <si>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</si>
  <si>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</si>
  <si>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</si>
  <si>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</si>
  <si>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</si>
  <si>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</si>
  <si>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</si>
  <si>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</si>
  <si>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</si>
  <si>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</si>
  <si>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</si>
  <si>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</si>
  <si>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</si>
  <si>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</si>
  <si>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</si>
  <si>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</si>
  <si>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</si>
  <si>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</si>
  <si>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</si>
  <si>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</si>
  <si>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</si>
  <si>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</si>
  <si>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</si>
  <si>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</si>
  <si>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</si>
  <si>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</si>
  <si>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</si>
  <si>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</si>
  <si>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</si>
  <si>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</si>
  <si>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</si>
  <si>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</si>
  <si>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</si>
  <si>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</si>
  <si>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</si>
  <si>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</si>
  <si>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</si>
  <si>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</si>
  <si>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</si>
  <si>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</si>
  <si>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</si>
  <si>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</si>
  <si>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</si>
  <si>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</si>
  <si>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</si>
  <si>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</si>
  <si>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</si>
  <si>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</si>
  <si>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</si>
  <si>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</si>
  <si>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</si>
  <si>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</si>
  <si>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</si>
  <si>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</si>
  <si>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</si>
  <si>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</si>
  <si>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</si>
  <si>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</si>
  <si>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</si>
  <si>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</si>
  <si>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</si>
  <si>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</si>
  <si>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</si>
  <si>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</si>
  <si>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</si>
  <si>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</si>
  <si>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</si>
  <si>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</si>
  <si>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</si>
  <si>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</si>
  <si>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</si>
  <si>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</si>
  <si>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</si>
  <si>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</si>
  <si>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</si>
  <si>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</si>
  <si>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</si>
  <si>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</si>
  <si>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</si>
  <si>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</si>
  <si>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</si>
  <si>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</si>
  <si>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</si>
  <si>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</si>
  <si>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</si>
  <si>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</si>
  <si>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</si>
  <si>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</si>
  <si>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</si>
  <si>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</si>
  <si>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</si>
  <si>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</si>
  <si>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</si>
  <si>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</si>
  <si>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</si>
  <si>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</si>
  <si>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</si>
  <si>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</si>
  <si>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</si>
  <si>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</si>
  <si>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</si>
  <si>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</si>
  <si>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</si>
  <si>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</si>
  <si>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</si>
  <si>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</si>
  <si>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</si>
  <si>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</si>
  <si>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</si>
  <si>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</si>
  <si>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</si>
  <si>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</si>
  <si>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</si>
  <si>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</si>
  <si>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</si>
  <si>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</si>
  <si>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</si>
  <si>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</si>
  <si>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</si>
  <si>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</si>
  <si>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</si>
  <si>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</si>
  <si>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</si>
  <si>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</si>
  <si>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</si>
  <si>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</si>
  <si>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</si>
  <si>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</si>
  <si>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</si>
  <si>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</si>
  <si>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</si>
  <si>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</si>
  <si>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</si>
  <si>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</si>
  <si>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</si>
  <si>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</si>
  <si>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</si>
  <si>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</si>
  <si>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</si>
  <si>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</si>
  <si>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</si>
  <si>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</si>
  <si>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</si>
  <si>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</si>
  <si>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</si>
  <si>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</si>
  <si>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</si>
  <si>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</si>
  <si>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</si>
  <si>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</si>
  <si>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</si>
  <si>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</si>
  <si>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</si>
  <si>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</si>
  <si>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</si>
  <si>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</si>
  <si>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</si>
  <si>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</si>
  <si>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</si>
  <si>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</si>
  <si>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</si>
  <si>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</si>
  <si>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</si>
  <si>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</si>
  <si>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</si>
  <si>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</si>
  <si>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</si>
  <si>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</si>
  <si>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</si>
  <si>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</si>
  <si>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</si>
  <si>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</si>
  <si>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</si>
  <si>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</si>
  <si>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</si>
  <si>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</si>
  <si>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</si>
  <si>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</si>
  <si>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</si>
  <si>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</si>
  <si>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</si>
  <si>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</si>
  <si>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</si>
  <si>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</si>
  <si>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</si>
  <si>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</si>
  <si>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</si>
  <si>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</si>
  <si>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</si>
  <si>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</si>
  <si>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</si>
  <si>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</si>
  <si>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</si>
  <si>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</si>
  <si>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</si>
  <si>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</si>
  <si>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</si>
  <si>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</si>
  <si>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</si>
  <si>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</si>
  <si>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</si>
  <si>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</si>
  <si>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</si>
  <si>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</si>
  <si>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</si>
  <si>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</si>
  <si>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</si>
  <si>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</si>
  <si>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</si>
  <si>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</si>
  <si>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</si>
  <si>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</si>
  <si>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</si>
  <si>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</si>
  <si>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</si>
  <si>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</si>
  <si>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</si>
  <si>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</si>
  <si>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</si>
  <si>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</si>
  <si>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</si>
  <si>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</si>
  <si>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</si>
  <si>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</si>
  <si>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</si>
  <si>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</si>
  <si>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</si>
  <si>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</si>
  <si>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</si>
  <si>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</si>
  <si>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</si>
  <si>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</si>
  <si>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</si>
  <si>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</si>
  <si>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</si>
  <si>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</si>
  <si>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</si>
  <si>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</si>
  <si>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</si>
  <si>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</si>
  <si>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</si>
  <si>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</si>
  <si>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</si>
  <si>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</si>
  <si>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</si>
  <si>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</si>
  <si>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</si>
  <si>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</si>
  <si>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</si>
  <si>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</si>
  <si>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</si>
  <si>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</si>
  <si>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</si>
  <si>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</si>
  <si>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</si>
  <si>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</si>
  <si>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</si>
  <si>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</si>
  <si>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</si>
  <si>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</si>
  <si>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</si>
  <si>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</si>
  <si>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</si>
  <si>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</si>
  <si>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</si>
  <si>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</si>
  <si>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</si>
  <si>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</si>
  <si>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</si>
  <si>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</si>
  <si>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</si>
  <si>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</si>
  <si>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</si>
  <si>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</si>
  <si>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</si>
  <si>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</si>
  <si>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</si>
  <si>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</si>
  <si>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</si>
  <si>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</si>
  <si>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</si>
  <si>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</si>
  <si>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</si>
  <si>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</si>
  <si>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</si>
  <si>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</si>
  <si>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</si>
  <si>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</si>
  <si>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</si>
  <si>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</si>
  <si>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</si>
  <si>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</si>
  <si>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</si>
  <si>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</si>
  <si>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</si>
  <si>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</si>
  <si>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</si>
  <si>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</si>
  <si>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</si>
  <si>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</si>
  <si>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</si>
  <si>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</si>
  <si>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</si>
  <si>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</si>
  <si>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</si>
  <si>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</si>
  <si>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</si>
  <si>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</si>
  <si>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</si>
  <si>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</si>
  <si>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</si>
  <si>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</si>
  <si>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</si>
  <si>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</si>
  <si>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</si>
  <si>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</si>
  <si>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</si>
  <si>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</si>
  <si>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</si>
  <si>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</si>
  <si>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</si>
  <si>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</si>
  <si>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</si>
  <si>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</si>
  <si>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</si>
  <si>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</si>
  <si>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</si>
  <si>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</si>
  <si>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</si>
  <si>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</si>
  <si>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</si>
  <si>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</si>
  <si>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</si>
  <si>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</si>
  <si>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</si>
  <si>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</si>
  <si>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</si>
  <si>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</si>
  <si>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</si>
  <si>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</si>
  <si>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</si>
  <si>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</si>
  <si>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</si>
  <si>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</si>
  <si>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</si>
  <si>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</si>
  <si>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</si>
  <si>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</si>
  <si>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</si>
  <si>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</si>
  <si>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</si>
  <si>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</si>
  <si>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</si>
  <si>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</si>
  <si>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</si>
  <si>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</si>
  <si>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</si>
  <si>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</si>
  <si>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</si>
  <si>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</si>
  <si>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</si>
  <si>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</si>
  <si>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</si>
  <si>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</si>
  <si>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</si>
  <si>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</si>
  <si>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</si>
  <si>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</si>
  <si>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</si>
  <si>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</si>
  <si>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</si>
  <si>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</si>
  <si>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</si>
  <si>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</si>
  <si>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</si>
  <si>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</si>
  <si>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</si>
  <si>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</si>
  <si>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</si>
  <si>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</si>
  <si>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</si>
  <si>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</si>
  <si>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</si>
  <si>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</si>
  <si>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</si>
  <si>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</si>
  <si>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</si>
  <si>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</si>
  <si>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</si>
  <si>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</si>
  <si>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</si>
  <si>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</si>
  <si>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</si>
  <si>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</si>
  <si>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</si>
  <si>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</si>
  <si>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</si>
  <si>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</si>
  <si>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</si>
  <si>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</si>
  <si>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</si>
  <si>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</si>
  <si>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</si>
  <si>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</si>
  <si>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</si>
  <si>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</si>
  <si>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</si>
  <si>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</si>
  <si>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</si>
  <si>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</si>
  <si>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</si>
  <si>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</si>
  <si>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</si>
  <si>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</si>
  <si>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</si>
  <si>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</si>
  <si>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</si>
  <si>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</si>
  <si>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</si>
  <si>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</si>
  <si>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</si>
  <si>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</si>
  <si>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</si>
  <si>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</si>
  <si>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</si>
  <si>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</si>
  <si>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</si>
  <si>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</si>
  <si>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</si>
  <si>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</si>
  <si>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</si>
  <si>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</si>
  <si>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</si>
  <si>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</si>
  <si>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</si>
  <si>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</si>
  <si>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</si>
  <si>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</si>
  <si>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</si>
  <si>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</si>
  <si>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</si>
  <si>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</si>
  <si>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</si>
  <si>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</si>
  <si>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</si>
  <si>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</si>
  <si>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</si>
  <si>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</si>
  <si>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</si>
  <si>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</si>
  <si>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</si>
  <si>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</si>
  <si>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</si>
  <si>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</si>
  <si>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</si>
  <si>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</si>
  <si>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</si>
  <si>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</si>
  <si>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</si>
  <si>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</si>
  <si>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</si>
  <si>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</si>
  <si>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</si>
  <si>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</si>
  <si>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</si>
  <si>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</si>
  <si>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</si>
  <si>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</si>
  <si>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</si>
  <si>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</si>
  <si>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</si>
  <si>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</si>
  <si>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</si>
  <si>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</si>
  <si>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</si>
  <si>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</si>
  <si>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</si>
  <si>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</si>
  <si>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</si>
  <si>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</si>
  <si>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</si>
  <si>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</si>
  <si>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</si>
  <si>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</si>
  <si>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</si>
  <si>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</si>
  <si>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</si>
  <si>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</si>
  <si>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</si>
  <si>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</si>
  <si>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</si>
  <si>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</si>
  <si>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</si>
  <si>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</si>
  <si>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</si>
  <si>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</si>
  <si>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</si>
  <si>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</si>
  <si>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</si>
  <si>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</si>
  <si>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</si>
  <si>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</si>
  <si>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</si>
  <si>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</si>
  <si>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</si>
  <si>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</si>
  <si>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</si>
  <si>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</si>
  <si>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</si>
  <si>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</si>
  <si>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</si>
  <si>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</si>
  <si>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</si>
  <si>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</si>
  <si>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</si>
  <si>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</si>
  <si>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</si>
  <si>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</si>
  <si>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</si>
  <si>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</si>
  <si>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</si>
  <si>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</si>
  <si>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</si>
  <si>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</si>
  <si>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</si>
  <si>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</si>
  <si>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</si>
  <si>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</si>
  <si>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</si>
  <si>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</si>
  <si>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</si>
  <si>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</si>
  <si>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</si>
  <si>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</si>
  <si>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</si>
  <si>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</si>
  <si>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</si>
  <si>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</si>
  <si>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</si>
  <si>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</si>
  <si>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</si>
  <si>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</si>
  <si>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</si>
  <si>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</si>
  <si>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</si>
  <si>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</si>
  <si>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</si>
  <si>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</si>
  <si>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</si>
  <si>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</si>
  <si>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</si>
  <si>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</si>
  <si>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</si>
  <si>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</si>
  <si>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</si>
  <si>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</si>
  <si>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</si>
  <si>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</si>
  <si>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</si>
  <si>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</si>
  <si>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</si>
  <si>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</si>
  <si>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</si>
  <si>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</si>
  <si>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</si>
  <si>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</si>
  <si>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</si>
  <si>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</si>
  <si>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</si>
  <si>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</si>
  <si>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</si>
  <si>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</si>
  <si>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</si>
  <si>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</si>
  <si>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</si>
  <si>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</si>
  <si>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</si>
  <si>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</si>
  <si>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</si>
  <si>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</si>
  <si>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</si>
  <si>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</si>
  <si>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</si>
  <si>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</si>
  <si>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</si>
  <si>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</si>
  <si>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</si>
  <si>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</si>
  <si>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</si>
  <si>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</si>
  <si>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</si>
  <si>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</si>
  <si>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</si>
  <si>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</si>
  <si>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</si>
  <si>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</si>
  <si>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</si>
  <si>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</si>
  <si>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</si>
  <si>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</si>
  <si>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</si>
  <si>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</si>
  <si>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</si>
  <si>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</si>
  <si>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</si>
  <si>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</si>
  <si>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</si>
  <si>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</si>
  <si>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</si>
  <si>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</si>
  <si>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</si>
  <si>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</si>
  <si>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</si>
  <si>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</si>
  <si>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</si>
  <si>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</si>
  <si>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</si>
  <si>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</si>
  <si>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</si>
  <si>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</si>
  <si>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</si>
  <si>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</si>
  <si>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</si>
  <si>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</si>
  <si>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</si>
  <si>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</si>
  <si>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</si>
  <si>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</si>
  <si>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</si>
  <si>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</si>
  <si>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</si>
  <si>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</si>
  <si>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</si>
  <si>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</si>
  <si>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</si>
  <si>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</si>
  <si>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</si>
  <si>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</si>
  <si>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</si>
  <si>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</si>
  <si>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</si>
  <si>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</si>
  <si>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</si>
  <si>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</si>
  <si>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</si>
  <si>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</si>
  <si>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</si>
  <si>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</si>
  <si>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</si>
  <si>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</si>
  <si>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</si>
  <si>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</si>
  <si>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</si>
  <si>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</si>
  <si>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</si>
  <si>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</si>
  <si>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</si>
  <si>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</si>
  <si>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</si>
  <si>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</si>
  <si>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</si>
  <si>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</si>
  <si>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</si>
  <si>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</si>
  <si>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</si>
  <si>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</si>
  <si>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</si>
  <si>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</si>
  <si>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</si>
  <si>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</si>
  <si>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</si>
  <si>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</si>
  <si>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</si>
  <si>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</si>
  <si>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</si>
  <si>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</si>
  <si>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</si>
  <si>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</si>
  <si>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</si>
  <si>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</si>
  <si>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</si>
  <si>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</si>
  <si>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</si>
  <si>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</si>
  <si>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</si>
  <si>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</si>
  <si>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</si>
  <si>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</si>
  <si>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</si>
  <si>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</si>
  <si>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</si>
  <si>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</si>
  <si>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</si>
  <si>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</si>
  <si>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</si>
  <si>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</si>
  <si>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</si>
  <si>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</si>
  <si>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</si>
  <si>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</si>
  <si>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</si>
  <si>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</si>
  <si>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</si>
  <si>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</si>
  <si>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</si>
  <si>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</si>
  <si>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</si>
  <si>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</si>
  <si>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</si>
  <si>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</si>
  <si>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</si>
  <si>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</si>
  <si>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</si>
  <si>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</si>
  <si>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</si>
  <si>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</si>
  <si>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</si>
  <si>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</si>
  <si>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</si>
  <si>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</si>
  <si>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</si>
  <si>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</si>
  <si>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</si>
  <si>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</si>
  <si>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</si>
  <si>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</si>
  <si>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</si>
  <si>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</si>
  <si>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</si>
  <si>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</si>
  <si>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</si>
  <si>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</si>
  <si>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</si>
  <si>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</si>
  <si>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</si>
  <si>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</si>
  <si>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</si>
  <si>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</si>
  <si>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</si>
  <si>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</si>
  <si>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</si>
  <si>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</si>
  <si>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</si>
  <si>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</si>
  <si>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</si>
  <si>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</si>
  <si>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</si>
  <si>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</si>
  <si>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</si>
  <si>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</si>
  <si>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</si>
  <si>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</si>
  <si>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</si>
  <si>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</si>
  <si>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</si>
  <si>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</si>
  <si>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</si>
  <si>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</si>
  <si>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</si>
  <si>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</si>
  <si>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</si>
  <si>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</si>
  <si>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</si>
  <si>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</si>
  <si>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</si>
  <si>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</si>
  <si>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</si>
  <si>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</si>
  <si>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</si>
  <si>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</si>
  <si>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</si>
  <si>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</si>
  <si>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</si>
  <si>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</si>
  <si>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</si>
  <si>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</si>
  <si>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</si>
  <si>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</si>
  <si>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</si>
  <si>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</si>
  <si>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</si>
  <si>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</si>
  <si>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</si>
  <si>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</si>
  <si>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</si>
  <si>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</si>
  <si>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</si>
  <si>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</si>
  <si>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</si>
  <si>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</si>
  <si>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</si>
  <si>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</si>
  <si>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</si>
  <si>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</si>
  <si>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</si>
  <si>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</si>
  <si>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</si>
  <si>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</si>
  <si>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</si>
  <si>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</si>
  <si>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</si>
  <si>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</si>
  <si>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</si>
  <si>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</si>
  <si>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</si>
  <si>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</si>
  <si>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</si>
  <si>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</si>
  <si>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</si>
  <si>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</si>
  <si>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</si>
  <si>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</si>
  <si>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</si>
  <si>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</si>
  <si>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</si>
  <si>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</si>
  <si>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</si>
  <si>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</si>
  <si>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</si>
  <si>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</si>
  <si>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</si>
  <si>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</si>
  <si>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</si>
  <si>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</si>
  <si>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</si>
  <si>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</si>
  <si>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</si>
  <si>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</si>
  <si>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</si>
  <si>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</si>
  <si>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</si>
  <si>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</si>
  <si>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</si>
  <si>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</si>
  <si>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</si>
  <si>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</si>
  <si>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</si>
  <si>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</si>
  <si>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</si>
  <si>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</si>
  <si>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</si>
  <si>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</si>
  <si>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</si>
  <si>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</si>
  <si>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</si>
  <si>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</si>
  <si>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</si>
  <si>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</si>
  <si>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</si>
  <si>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</si>
  <si>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</si>
  <si>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</si>
  <si>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</si>
  <si>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</si>
  <si>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</si>
  <si>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</si>
  <si>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</si>
  <si>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</si>
  <si>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</si>
  <si>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</si>
  <si>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</si>
  <si>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</si>
  <si>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</si>
  <si>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</si>
  <si>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</si>
  <si>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</si>
  <si>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</si>
  <si>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</si>
  <si>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</si>
  <si>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</si>
  <si>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</si>
  <si>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</si>
  <si>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</si>
  <si>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</si>
  <si>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</si>
  <si>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</si>
  <si>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</si>
  <si>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</si>
  <si>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</si>
  <si>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</si>
  <si>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</si>
  <si>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</si>
  <si>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</si>
  <si>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</si>
  <si>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</si>
  <si>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</si>
  <si>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</si>
  <si>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</si>
  <si>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</si>
  <si>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</si>
  <si>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</si>
  <si>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</si>
  <si>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</si>
  <si>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</si>
  <si>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</si>
  <si>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</si>
  <si>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</si>
  <si>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</si>
  <si>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</si>
  <si>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</si>
  <si>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</si>
  <si>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</si>
  <si>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</si>
  <si>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</si>
  <si>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</si>
  <si>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</si>
  <si>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</si>
  <si>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</si>
  <si>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</si>
  <si>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</si>
  <si>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</si>
  <si>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</si>
  <si>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</si>
  <si>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</si>
  <si>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</si>
  <si>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</si>
  <si>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</si>
  <si>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</si>
  <si>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</si>
  <si>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</si>
  <si>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</si>
  <si>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</si>
  <si>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</si>
  <si>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</si>
  <si>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</si>
  <si>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</si>
  <si>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</si>
  <si>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</si>
  <si>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</si>
  <si>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</si>
  <si>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</si>
  <si>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</si>
  <si>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</si>
  <si>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</si>
  <si>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</si>
  <si>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</si>
  <si>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</si>
  <si>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</si>
  <si>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</si>
  <si>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</si>
  <si>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</si>
  <si>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</si>
  <si>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</si>
  <si>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</si>
  <si>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</si>
  <si>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</si>
  <si>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</si>
  <si>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</si>
  <si>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</si>
  <si>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</si>
  <si>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</si>
  <si>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</si>
  <si>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</si>
  <si>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</si>
  <si>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</si>
  <si>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</si>
  <si>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</si>
  <si>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</si>
  <si>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</si>
  <si>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</si>
  <si>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</si>
  <si>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</si>
  <si>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</si>
  <si>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</si>
  <si>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</si>
  <si>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</si>
  <si>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</si>
  <si>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</si>
  <si>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</si>
  <si>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</si>
  <si>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</si>
  <si>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</si>
  <si>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</si>
  <si>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</si>
  <si>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</si>
  <si>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</si>
  <si>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</si>
  <si>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</si>
  <si>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</si>
  <si>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</si>
  <si>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</si>
  <si>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</si>
  <si>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</si>
  <si>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</si>
  <si>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</si>
  <si>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</si>
  <si>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</si>
  <si>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</si>
  <si>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</si>
  <si>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</si>
  <si>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</si>
  <si>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</si>
  <si>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</si>
  <si>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</si>
  <si>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</si>
  <si>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</si>
  <si>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</si>
  <si>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</si>
  <si>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</si>
  <si>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</si>
  <si>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</si>
  <si>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</si>
  <si>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</si>
  <si>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</si>
  <si>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</si>
  <si>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</si>
  <si>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</si>
  <si>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</si>
  <si>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</si>
  <si>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</si>
  <si>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</si>
  <si>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</si>
  <si>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</si>
  <si>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</si>
  <si>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</si>
  <si>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</si>
  <si>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</si>
  <si>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</si>
  <si>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</si>
  <si>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</si>
  <si>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</si>
  <si>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</si>
  <si>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</si>
  <si>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</si>
  <si>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</si>
  <si>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</si>
  <si>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</si>
  <si>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</si>
  <si>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</si>
  <si>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</si>
  <si>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</si>
  <si>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</si>
  <si>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</si>
  <si>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</si>
  <si>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</si>
  <si>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</si>
  <si>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</si>
  <si>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</si>
  <si>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</si>
  <si>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</si>
  <si>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</si>
  <si>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</si>
  <si>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</si>
  <si>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</si>
  <si>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</si>
  <si>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</si>
  <si>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</si>
  <si>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</si>
  <si>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</si>
  <si>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</si>
  <si>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</si>
  <si>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</si>
  <si>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</si>
  <si>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</si>
  <si>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</si>
  <si>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</si>
  <si>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</si>
  <si>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</si>
  <si>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</si>
  <si>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</si>
  <si>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</si>
  <si>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</si>
  <si>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</si>
  <si>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</si>
  <si>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</si>
  <si>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</si>
  <si>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</si>
  <si>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</si>
  <si>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</si>
  <si>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</si>
  <si>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</si>
  <si>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</si>
  <si>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</si>
  <si>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</si>
  <si>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</si>
  <si>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</si>
  <si>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</si>
  <si>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</si>
  <si>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</si>
  <si>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</si>
  <si>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</si>
  <si>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</si>
  <si>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</si>
  <si>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</si>
  <si>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</si>
  <si>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</si>
  <si>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</si>
  <si>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</si>
  <si>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</si>
  <si>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</si>
  <si>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</si>
  <si>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</si>
  <si>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</si>
  <si>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</si>
  <si>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</si>
  <si>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</si>
  <si>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</si>
  <si>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</si>
  <si>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</si>
  <si>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</si>
  <si>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</si>
  <si>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</si>
  <si>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</si>
  <si>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</si>
  <si>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</si>
  <si>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</si>
  <si>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</si>
  <si>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</si>
  <si>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</si>
  <si>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</si>
  <si>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</si>
  <si>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</si>
  <si>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</si>
  <si>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</si>
  <si>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</si>
  <si>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</si>
  <si>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</si>
  <si>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</si>
  <si>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</si>
  <si>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</si>
  <si>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</si>
  <si>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</si>
  <si>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</si>
  <si>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</si>
  <si>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</si>
  <si>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</si>
  <si>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</si>
  <si>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</si>
  <si>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</si>
  <si>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</si>
  <si>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</si>
  <si>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</si>
  <si>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</si>
  <si>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</si>
  <si>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Paillon de Contes</t>
  </si>
  <si>
    <t xml:space="preserve">Coaraze</t>
  </si>
  <si>
    <t xml:space="preserve">06700260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</si>
  <si>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</si>
  <si>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</si>
  <si>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</si>
  <si>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</si>
  <si>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</si>
  <si>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</si>
  <si>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</si>
  <si>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</si>
  <si>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</si>
  <si>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</si>
  <si>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</si>
  <si>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</si>
  <si>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</si>
  <si>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</si>
  <si>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</si>
  <si>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</si>
  <si>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</si>
  <si>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</si>
  <si>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</si>
  <si>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</si>
  <si>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</si>
  <si>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</si>
  <si>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</si>
  <si>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</si>
  <si>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</si>
  <si>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</si>
  <si>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</si>
  <si>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</si>
  <si>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</si>
  <si>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</si>
  <si>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</si>
  <si>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</si>
  <si>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</si>
  <si>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</si>
  <si>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</si>
  <si>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</si>
  <si>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</si>
  <si>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</si>
  <si>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</si>
  <si>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</si>
  <si>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</si>
  <si>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</si>
  <si>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</si>
  <si>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</si>
  <si>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</si>
  <si>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</si>
  <si>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</si>
  <si>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</si>
  <si>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</si>
  <si>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</si>
  <si>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(0,3859 %)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</si>
  <si>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</si>
  <si>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</si>
  <si>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</si>
  <si>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</si>
  <si>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</si>
  <si>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</si>
  <si>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</si>
  <si>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</si>
  <si>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</si>
  <si>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</si>
  <si>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</si>
  <si>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</si>
  <si>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</si>
  <si>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</si>
  <si>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</si>
  <si>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</si>
  <si>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</si>
  <si>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</si>
  <si>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</si>
  <si>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Didymodon spadiceus</t>
  </si>
  <si>
    <t xml:space="preserve">Cf.</t>
  </si>
  <si>
    <t xml:space="preserve">Pohlia sp.</t>
  </si>
  <si>
    <t xml:space="preserve">Achnantherum calamagrostis</t>
  </si>
  <si>
    <t xml:space="preserve">Tussilago farfara</t>
  </si>
  <si>
    <t xml:space="preserve">Graminée x</t>
  </si>
  <si>
    <t xml:space="preserve">Gymnostomum recurvirostrum</t>
  </si>
  <si>
    <t xml:space="preserve">Trichostomum crispulum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</si>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</sst>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41431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14.9166666666667</v>
      </c>
      <c r="M5" s="323"/>
      <c r="N5" s="324" t="s">
        <v>760</v>
      </c>
      <c r="O5" s="325" t="n">
        <v>14.875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73</v>
      </c>
      <c r="C7" s="337" t="n">
        <v>27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5.83333333333333</v>
      </c>
      <c r="O8" s="354" t="n">
        <f aca="false">IF(ISERROR(AVERAGE(J23:J82)),"      -",AVERAGE(J23:J82))</f>
        <v>0.833333333333333</v>
      </c>
      <c r="P8" s="355"/>
      <c r="Q8" s="280"/>
      <c r="R8" s="280"/>
      <c r="S8" s="280"/>
      <c r="T8" s="280"/>
      <c r="U8" s="280"/>
      <c r="V8" s="280"/>
      <c r="W8" s="292"/>
      <c r="X8" s="293"/>
    </row>
    <row r="9" customFormat="false" ht="13.5" hidden="false" customHeight="false" outlineLevel="0" collapsed="false">
      <c r="A9" s="313" t="s">
        <v>2635</v>
      </c>
      <c r="B9" s="356" t="n">
        <v>0.5</v>
      </c>
      <c r="C9" s="357" t="n">
        <v>0.15</v>
      </c>
      <c r="D9" s="358"/>
      <c r="E9" s="358"/>
      <c r="F9" s="359" t="n">
        <f aca="false">($B9*$B$7+$C9*$C$7)/100</f>
        <v>0.4055</v>
      </c>
      <c r="G9" s="360"/>
      <c r="H9" s="361"/>
      <c r="I9" s="362"/>
      <c r="J9" s="363"/>
      <c r="K9" s="343"/>
      <c r="L9" s="364"/>
      <c r="M9" s="353" t="s">
        <v>2636</v>
      </c>
      <c r="N9" s="354" t="n">
        <f aca="false">IF(ISERROR(STDEVP(I23:I82)),"     -",STDEVP(I23:I82))</f>
        <v>7.19760762722973</v>
      </c>
      <c r="O9" s="354" t="n">
        <f aca="false">IF(ISERROR(STDEVP(J23:J82)),"      -",STDEVP(J23:J82))</f>
        <v>1.06718737290547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3</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19</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3</v>
      </c>
      <c r="L15" s="386"/>
      <c r="M15" s="407" t="s">
        <v>2654</v>
      </c>
      <c r="N15" s="408" t="n">
        <f aca="false">COUNTIF(J23:J82,"=1")</f>
        <v>1</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0.475</v>
      </c>
      <c r="C20" s="436" t="n">
        <f aca="false">SUM(C23:C82)</f>
        <v>0.145</v>
      </c>
      <c r="D20" s="437"/>
      <c r="E20" s="438" t="s">
        <v>2660</v>
      </c>
      <c r="F20" s="439" t="n">
        <f aca="false">($B20*$B$7+$C20*$C$7)/100</f>
        <v>0.3859</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0.34675</v>
      </c>
      <c r="C21" s="449" t="n">
        <f aca="false">C20*C7/100</f>
        <v>0.03915</v>
      </c>
      <c r="D21" s="381" t="str">
        <f aca="false">IF(F21=0,"",IF((ABS(F21-F19))&gt;(0.2*F21),CONCATENATE(" rec. par taxa (",F21," %) supérieur à 20 % !"),""))</f>
        <v> rec. par taxa (0,3859 %) supérieur à 20 % !</v>
      </c>
      <c r="E21" s="450" t="str">
        <f aca="false">IF(F21=0,"",IF((ABS(F21-F19))&gt;(0.2*F21),CONCATENATE("ATTENTION : écart entre rec. par grp (",F19," %) ","et",""),""))</f>
        <v>ATTENTION : écart entre rec. par grp (0 %) et</v>
      </c>
      <c r="F21" s="451" t="n">
        <f aca="false">B21+C21</f>
        <v>0.3859</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69</v>
      </c>
      <c r="B23" s="475" t="n">
        <v>0.1</v>
      </c>
      <c r="C23" s="476" t="n">
        <v>0.005</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0.07435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0.07435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220</v>
      </c>
      <c r="B24" s="494" t="n">
        <v>0.04</v>
      </c>
      <c r="C24" s="495"/>
      <c r="D24" s="477" t="str">
        <f aca="false">IF(ISERROR(VLOOKUP($A24,'liste reference'!$A$7:$D$904,2,0)),IF(ISERROR(VLOOKUP($A24,'liste reference'!$B$7:$D$904,1,0)),"",VLOOKUP($A24,'liste reference'!$B$7:$D$904,1,0)),VLOOKUP($A24,'liste reference'!$A$7:$D$904,2,0))</f>
        <v>Nostoc sp.</v>
      </c>
      <c r="E24" s="496" t="e">
        <f aca="false">IF(D24="",0,VLOOKUP(D24,D$22:D23,1,0))</f>
        <v>#N/A</v>
      </c>
      <c r="F24" s="497" t="n">
        <f aca="false">($B24*$B$7+$C24*$C$7)/100</f>
        <v>0.0292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9</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Nostoc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1105</v>
      </c>
      <c r="Q24" s="486" t="n">
        <f aca="false">IF(ISTEXT(H24),"",(B24*$B$7/100)+(C24*$C$7/100))</f>
        <v>0.0292</v>
      </c>
      <c r="R24" s="487" t="n">
        <f aca="false">IF(OR(ISTEXT(H24),Q24=0),"",IF(Q24&lt;0.1,1,IF(Q24&lt;1,2,IF(Q24&lt;10,3,IF(Q24&lt;50,4,IF(Q24&gt;=50,5,""))))))</f>
        <v>1</v>
      </c>
      <c r="S24" s="487" t="n">
        <f aca="false">IF(ISERROR(R24*I24),0,R24*I24)</f>
        <v>9</v>
      </c>
      <c r="T24" s="487" t="n">
        <f aca="false">IF(ISERROR(R24*I24*J24),0,R24*I24*J24)</f>
        <v>9</v>
      </c>
      <c r="U24" s="499" t="n">
        <f aca="false">IF(ISERROR(R24*J24),0,R24*J24)</f>
        <v>1</v>
      </c>
      <c r="V24" s="488" t="str">
        <f aca="false">IF(AND(A24="",F24=0),"",IF(F24=0,"Il manque le(s) % de rec. !",""))</f>
        <v/>
      </c>
      <c r="W24" s="500"/>
      <c r="Y24" s="490" t="str">
        <f aca="false">IF(A24="new.cod","NEWCOD",IF(AND((Z24=""),ISTEXT(A24)),A24,IF(Z24="","",INDEX('liste reference'!$A$8:$A$904,Z24))))</f>
        <v>NOSSPX</v>
      </c>
      <c r="Z24" s="280" t="n">
        <f aca="false">IF(ISERROR(MATCH(A24,'liste reference'!$A$8:$A$904,0)),IF(ISERROR(MATCH(A24,'liste reference'!$B$8:$B$904,0)),"",(MATCH(A24,'liste reference'!$B$8:$B$904,0))),(MATCH(A24,'liste reference'!$A$8:$A$904,0)))</f>
        <v>54</v>
      </c>
      <c r="AA24" s="491"/>
      <c r="AB24" s="492"/>
      <c r="AC24" s="492"/>
      <c r="BB24" s="280" t="n">
        <f aca="false">IF(A24="","",1)</f>
        <v>1</v>
      </c>
    </row>
    <row r="25" customFormat="false" ht="12.75" hidden="false" customHeight="false" outlineLevel="0" collapsed="false">
      <c r="A25" s="493" t="s">
        <v>293</v>
      </c>
      <c r="B25" s="494" t="n">
        <v>0.005</v>
      </c>
      <c r="C25" s="495"/>
      <c r="D25" s="477" t="str">
        <f aca="false">IF(ISERROR(VLOOKUP($A25,'liste reference'!$A$7:$D$904,2,0)),IF(ISERROR(VLOOKUP($A25,'liste reference'!$B$7:$D$904,1,0)),"",VLOOKUP($A25,'liste reference'!$B$7:$D$904,1,0)),VLOOKUP($A25,'liste reference'!$A$7:$D$904,2,0))</f>
        <v>Tolypothrix sp.</v>
      </c>
      <c r="E25" s="496" t="e">
        <f aca="false">IF(D25="",0,VLOOKUP(D25,D$22:D24,1,0))</f>
        <v>#N/A</v>
      </c>
      <c r="F25" s="497" t="n">
        <f aca="false">($B25*$B$7+$C25*$C$7)/100</f>
        <v>0.00365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Tolypothrix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6304</v>
      </c>
      <c r="Q25" s="486" t="n">
        <f aca="false">IF(ISTEXT(H25),"",(B25*$B$7/100)+(C25*$C$7/100))</f>
        <v>0.00365</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TOYSPX</v>
      </c>
      <c r="Z25" s="280" t="n">
        <f aca="false">IF(ISERROR(MATCH(A25,'liste reference'!$A$8:$A$904,0)),IF(ISERROR(MATCH(A25,'liste reference'!$B$8:$B$904,0)),"",(MATCH(A25,'liste reference'!$B$8:$B$904,0))),(MATCH(A25,'liste reference'!$A$8:$A$904,0)))</f>
        <v>79</v>
      </c>
      <c r="AA25" s="491"/>
      <c r="AB25" s="492"/>
      <c r="AC25" s="492"/>
      <c r="BB25" s="280" t="n">
        <f aca="false">IF(A25="","",1)</f>
        <v>1</v>
      </c>
    </row>
    <row r="26" customFormat="false" ht="12.75" hidden="false" customHeight="false" outlineLevel="0" collapsed="false">
      <c r="A26" s="493" t="s">
        <v>512</v>
      </c>
      <c r="B26" s="494" t="n">
        <v>0.01</v>
      </c>
      <c r="C26" s="495"/>
      <c r="D26" s="477" t="str">
        <f aca="false">IF(ISERROR(VLOOKUP($A26,'liste reference'!$A$7:$D$904,2,0)),IF(ISERROR(VLOOKUP($A26,'liste reference'!$B$7:$D$904,1,0)),"",VLOOKUP($A26,'liste reference'!$B$7:$D$904,1,0)),VLOOKUP($A26,'liste reference'!$A$7:$D$904,2,0))</f>
        <v>Pellia endiviifolia</v>
      </c>
      <c r="E26" s="496" t="e">
        <f aca="false">IF(D26="",0,VLOOKUP(D26,D$22:D25,1,0))</f>
        <v>#N/A</v>
      </c>
      <c r="F26" s="497" t="n">
        <f aca="false">($B26*$B$7+$C26*$C$7)/100</f>
        <v>0.0073</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1197</v>
      </c>
      <c r="Q26" s="486" t="n">
        <f aca="false">IF(ISTEXT(H26),"",(B26*$B$7/100)+(C26*$C$7/100))</f>
        <v>0.0073</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PELEND</v>
      </c>
      <c r="Z26" s="280" t="n">
        <f aca="false">IF(ISERROR(MATCH(A26,'liste reference'!$A$8:$A$904,0)),IF(ISERROR(MATCH(A26,'liste reference'!$B$8:$B$904,0)),"",(MATCH(A26,'liste reference'!$B$8:$B$904,0))),(MATCH(A26,'liste reference'!$A$8:$A$904,0)))</f>
        <v>120</v>
      </c>
      <c r="AA26" s="491"/>
      <c r="AB26" s="492"/>
      <c r="AC26" s="492"/>
      <c r="BB26" s="280" t="n">
        <f aca="false">IF(A26="","",1)</f>
        <v>1</v>
      </c>
    </row>
    <row r="27" customFormat="false" ht="12.75" hidden="false" customHeight="false" outlineLevel="0" collapsed="false">
      <c r="A27" s="493" t="s">
        <v>760</v>
      </c>
      <c r="B27" s="494" t="n">
        <v>0.15</v>
      </c>
      <c r="C27" s="495" t="n">
        <v>0.05</v>
      </c>
      <c r="D27" s="477" t="str">
        <f aca="false">IF(ISERROR(VLOOKUP($A27,'liste reference'!$A$7:$D$904,2,0)),IF(ISERROR(VLOOKUP($A27,'liste reference'!$B$7:$D$904,1,0)),"",VLOOKUP($A27,'liste reference'!$B$7:$D$904,1,0)),VLOOKUP($A27,'liste reference'!$A$7:$D$904,2,0))</f>
        <v>Cratoneuron commutatum</v>
      </c>
      <c r="E27" s="496" t="e">
        <f aca="false">IF(D27="",0,VLOOKUP(D27,D$22:D26,1,0))</f>
        <v>#N/A</v>
      </c>
      <c r="F27" s="497" t="n">
        <f aca="false">($B27*$B$7+$C27*$C$7)/100</f>
        <v>0.123</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Cratoneuron commutatum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1232</v>
      </c>
      <c r="Q27" s="486" t="n">
        <f aca="false">IF(ISTEXT(H27),"",(B27*$B$7/100)+(C27*$C$7/100))</f>
        <v>0.123</v>
      </c>
      <c r="R27" s="487" t="n">
        <f aca="false">IF(OR(ISTEXT(H27),Q27=0),"",IF(Q27&lt;0.1,1,IF(Q27&lt;1,2,IF(Q27&lt;10,3,IF(Q27&lt;50,4,IF(Q27&gt;=50,5,""))))))</f>
        <v>2</v>
      </c>
      <c r="S27" s="487" t="n">
        <f aca="false">IF(ISERROR(R27*I27),0,R27*I27)</f>
        <v>30</v>
      </c>
      <c r="T27" s="487" t="n">
        <f aca="false">IF(ISERROR(R27*I27*J27),0,R27*I27*J27)</f>
        <v>60</v>
      </c>
      <c r="U27" s="499" t="n">
        <f aca="false">IF(ISERROR(R27*J27),0,R27*J27)</f>
        <v>4</v>
      </c>
      <c r="V27" s="488" t="str">
        <f aca="false">IF(AND(A27="",F27=0),"",IF(F27=0,"Il manque le(s) % de rec. !",""))</f>
        <v/>
      </c>
      <c r="W27" s="500"/>
      <c r="Y27" s="490" t="str">
        <f aca="false">IF(A27="new.cod","NEWCOD",IF(AND((Z27=""),ISTEXT(A27)),A27,IF(Z27="","",INDEX('liste reference'!$A$8:$A$904,Z27))))</f>
        <v>CRACOM</v>
      </c>
      <c r="Z27" s="280" t="n">
        <f aca="false">IF(ISERROR(MATCH(A27,'liste reference'!$A$8:$A$904,0)),IF(ISERROR(MATCH(A27,'liste reference'!$B$8:$B$904,0)),"",(MATCH(A27,'liste reference'!$B$8:$B$904,0))),(MATCH(A27,'liste reference'!$A$8:$A$904,0)))</f>
        <v>177</v>
      </c>
      <c r="AA27" s="491"/>
      <c r="AB27" s="492"/>
      <c r="AC27" s="492"/>
      <c r="BB27" s="280" t="n">
        <f aca="false">IF(A27="","",1)</f>
        <v>1</v>
      </c>
    </row>
    <row r="28" customFormat="false" ht="12.75" hidden="false" customHeight="false" outlineLevel="0" collapsed="false">
      <c r="A28" s="493" t="s">
        <v>764</v>
      </c>
      <c r="B28" s="494"/>
      <c r="C28" s="495" t="n">
        <v>0.005</v>
      </c>
      <c r="D28" s="477" t="str">
        <f aca="false">IF(ISERROR(VLOOKUP($A28,'liste reference'!$A$7:$D$904,2,0)),IF(ISERROR(VLOOKUP($A28,'liste reference'!$B$7:$D$904,1,0)),"",VLOOKUP($A28,'liste reference'!$B$7:$D$904,1,0)),VLOOKUP($A28,'liste reference'!$A$7:$D$904,2,0))</f>
        <v>Cratoneuron filicinum</v>
      </c>
      <c r="E28" s="496" t="e">
        <f aca="false">IF(D28="",0,VLOOKUP(D28,D$22:D27,1,0))</f>
        <v>#N/A</v>
      </c>
      <c r="F28" s="497" t="n">
        <f aca="false">($B28*$B$7+$C28*$C$7)/100</f>
        <v>0.00135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18</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Cratoneuron filicinum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1233</v>
      </c>
      <c r="Q28" s="486" t="n">
        <f aca="false">IF(ISTEXT(H28),"",(B28*$B$7/100)+(C28*$C$7/100))</f>
        <v>0.00135</v>
      </c>
      <c r="R28" s="487" t="n">
        <f aca="false">IF(OR(ISTEXT(H28),Q28=0),"",IF(Q28&lt;0.1,1,IF(Q28&lt;1,2,IF(Q28&lt;10,3,IF(Q28&lt;50,4,IF(Q28&gt;=50,5,""))))))</f>
        <v>1</v>
      </c>
      <c r="S28" s="487" t="n">
        <f aca="false">IF(ISERROR(R28*I28),0,R28*I28)</f>
        <v>18</v>
      </c>
      <c r="T28" s="487" t="n">
        <f aca="false">IF(ISERROR(R28*I28*J28),0,R28*I28*J28)</f>
        <v>54</v>
      </c>
      <c r="U28" s="499" t="n">
        <f aca="false">IF(ISERROR(R28*J28),0,R28*J28)</f>
        <v>3</v>
      </c>
      <c r="V28" s="488" t="str">
        <f aca="false">IF(AND(A28="",F28=0),"",IF(F28=0,"Il manque le(s) % de rec. !",""))</f>
        <v/>
      </c>
      <c r="W28" s="500"/>
      <c r="Y28" s="490" t="str">
        <f aca="false">IF(A28="new.cod","NEWCOD",IF(AND((Z28=""),ISTEXT(A28)),A28,IF(Z28="","",INDEX('liste reference'!$A$8:$A$904,Z28))))</f>
        <v>CRAFIL</v>
      </c>
      <c r="Z28" s="280" t="n">
        <f aca="false">IF(ISERROR(MATCH(A28,'liste reference'!$A$8:$A$904,0)),IF(ISERROR(MATCH(A28,'liste reference'!$B$8:$B$904,0)),"",(MATCH(A28,'liste reference'!$B$8:$B$904,0))),(MATCH(A28,'liste reference'!$A$8:$A$904,0)))</f>
        <v>178</v>
      </c>
      <c r="AA28" s="491"/>
      <c r="AB28" s="492"/>
      <c r="AC28" s="492"/>
      <c r="BB28" s="280" t="n">
        <f aca="false">IF(A28="","",1)</f>
        <v>1</v>
      </c>
    </row>
    <row r="29" customFormat="false" ht="12.75" hidden="false" customHeight="false" outlineLevel="0" collapsed="false">
      <c r="A29" s="493" t="s">
        <v>821</v>
      </c>
      <c r="B29" s="494" t="n">
        <v>0.01</v>
      </c>
      <c r="C29" s="495" t="n">
        <v>0.005</v>
      </c>
      <c r="D29" s="477" t="str">
        <f aca="false">IF(ISERROR(VLOOKUP($A29,'liste reference'!$A$7:$D$904,2,0)),IF(ISERROR(VLOOKUP($A29,'liste reference'!$B$7:$D$904,1,0)),"",VLOOKUP($A29,'liste reference'!$B$7:$D$904,1,0)),VLOOKUP($A29,'liste reference'!$A$7:$D$904,2,0))</f>
        <v>Eucladium verticillatum</v>
      </c>
      <c r="E29" s="496" t="e">
        <f aca="false">IF(D29="",0,VLOOKUP(D29,D$22:D28,1,0))</f>
        <v>#N/A</v>
      </c>
      <c r="F29" s="497" t="n">
        <f aca="false">($B29*$B$7+$C29*$C$7)/100</f>
        <v>0.00865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Eucladium verticillatum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19654</v>
      </c>
      <c r="Q29" s="486" t="n">
        <f aca="false">IF(ISTEXT(H29),"",(B29*$B$7/100)+(C29*$C$7/100))</f>
        <v>0.00865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500"/>
      <c r="Y29" s="490" t="str">
        <f aca="false">IF(A29="new.cod","NEWCOD",IF(AND((Z29=""),ISTEXT(A29)),A29,IF(Z29="","",INDEX('liste reference'!$A$8:$A$904,Z29))))</f>
        <v>EUCVER</v>
      </c>
      <c r="Z29" s="280" t="n">
        <f aca="false">IF(ISERROR(MATCH(A29,'liste reference'!$A$8:$A$904,0)),IF(ISERROR(MATCH(A29,'liste reference'!$B$8:$B$904,0)),"",(MATCH(A29,'liste reference'!$B$8:$B$904,0))),(MATCH(A29,'liste reference'!$A$8:$A$904,0)))</f>
        <v>191</v>
      </c>
      <c r="AA29" s="491"/>
      <c r="AB29" s="492"/>
      <c r="AC29" s="492"/>
      <c r="BB29" s="280" t="n">
        <f aca="false">IF(A29="","",1)</f>
        <v>1</v>
      </c>
    </row>
    <row r="30" customFormat="false" ht="12.75" hidden="false" customHeight="false" outlineLevel="0" collapsed="false">
      <c r="A30" s="493" t="s">
        <v>852</v>
      </c>
      <c r="B30" s="494"/>
      <c r="C30" s="495" t="n">
        <v>0.005</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0.00135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0.00135</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500"/>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2.75" hidden="false" customHeight="false" outlineLevel="0" collapsed="false">
      <c r="A31" s="493" t="s">
        <v>1153</v>
      </c>
      <c r="B31" s="494" t="n">
        <v>0.005</v>
      </c>
      <c r="C31" s="495" t="n">
        <v>0.005</v>
      </c>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t="s">
        <v>1782</v>
      </c>
      <c r="B32" s="494" t="n">
        <v>0.03</v>
      </c>
      <c r="C32" s="495" t="n">
        <v>0.05</v>
      </c>
      <c r="D32" s="477" t="str">
        <f aca="false">IF(ISERROR(VLOOKUP($A32,'liste reference'!$A$7:$D$904,2,0)),IF(ISERROR(VLOOKUP($A32,'liste reference'!$B$7:$D$904,1,0)),"",VLOOKUP($A32,'liste reference'!$B$7:$D$904,1,0)),VLOOKUP($A32,'liste reference'!$A$7:$D$904,2,0))</f>
        <v>Carex pendula</v>
      </c>
      <c r="E32" s="496" t="e">
        <f aca="false">IF(D32="",0,VLOOKUP(D32,D$22:D31,1,0))</f>
        <v>#N/A</v>
      </c>
      <c r="F32" s="497" t="n">
        <f aca="false">($B32*$B$7+$C32*$C$7)/100</f>
        <v>0.0354</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Carex pendula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1485</v>
      </c>
      <c r="Q32" s="486" t="n">
        <f aca="false">IF(ISTEXT(H32),"",(B32*$B$7/100)+(C32*$C$7/100))</f>
        <v>0.0354</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CARPEN</v>
      </c>
      <c r="Z32" s="280" t="n">
        <f aca="false">IF(ISERROR(MATCH(A32,'liste reference'!$A$8:$A$904,0)),IF(ISERROR(MATCH(A32,'liste reference'!$B$8:$B$904,0)),"",(MATCH(A32,'liste reference'!$B$8:$B$904,0))),(MATCH(A32,'liste reference'!$A$8:$A$904,0)))</f>
        <v>541</v>
      </c>
      <c r="AA32" s="491"/>
      <c r="AB32" s="492"/>
      <c r="AC32" s="492"/>
      <c r="BB32" s="280" t="n">
        <f aca="false">IF(A32="","",1)</f>
        <v>1</v>
      </c>
    </row>
    <row r="33" customFormat="false" ht="12.75" hidden="false" customHeight="false" outlineLevel="0" collapsed="false">
      <c r="A33" s="493" t="s">
        <v>1847</v>
      </c>
      <c r="B33" s="494" t="n">
        <v>0.005</v>
      </c>
      <c r="C33" s="495"/>
      <c r="D33" s="477" t="str">
        <f aca="false">IF(ISERROR(VLOOKUP($A33,'liste reference'!$A$7:$D$904,2,0)),IF(ISERROR(VLOOKUP($A33,'liste reference'!$B$7:$D$904,1,0)),"",VLOOKUP($A33,'liste reference'!$B$7:$D$904,1,0)),VLOOKUP($A33,'liste reference'!$A$7:$D$904,2,0))</f>
        <v>Eupatorium cannabinum</v>
      </c>
      <c r="E33" s="496" t="e">
        <f aca="false">IF(D33="",0,VLOOKUP(D33,D$22:D32,1,0))</f>
        <v>#N/A</v>
      </c>
      <c r="F33" s="497" t="n">
        <f aca="false">($B33*$B$7+$C33*$C$7)/100</f>
        <v>0.00365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Eupatorium cannabinum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1741</v>
      </c>
      <c r="Q33" s="486" t="n">
        <f aca="false">IF(ISTEXT(H33),"",(B33*$B$7/100)+(C33*$C$7/100))</f>
        <v>0.00365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500"/>
      <c r="X33" s="500"/>
      <c r="Y33" s="490" t="str">
        <f aca="false">IF(A33="new.cod","NEWCOD",IF(AND((Z33=""),ISTEXT(A33)),A33,IF(Z33="","",INDEX('liste reference'!$A$8:$A$904,Z33))))</f>
        <v>EUPCAN</v>
      </c>
      <c r="Z33" s="280" t="n">
        <f aca="false">IF(ISERROR(MATCH(A33,'liste reference'!$A$8:$A$904,0)),IF(ISERROR(MATCH(A33,'liste reference'!$B$8:$B$904,0)),"",(MATCH(A33,'liste reference'!$B$8:$B$904,0))),(MATCH(A33,'liste reference'!$A$8:$A$904,0)))</f>
        <v>568</v>
      </c>
      <c r="AA33" s="491"/>
      <c r="AB33" s="492"/>
      <c r="AC33" s="492"/>
      <c r="BB33" s="280" t="n">
        <f aca="false">IF(A33="","",1)</f>
        <v>1</v>
      </c>
    </row>
    <row r="34" customFormat="false" ht="12.75" hidden="false" customHeight="false" outlineLevel="0" collapsed="false">
      <c r="A34" s="493" t="s">
        <v>1940</v>
      </c>
      <c r="B34" s="494" t="n">
        <v>0.005</v>
      </c>
      <c r="C34" s="495"/>
      <c r="D34" s="477" t="str">
        <f aca="false">IF(ISERROR(VLOOKUP($A34,'liste reference'!$A$7:$D$904,2,0)),IF(ISERROR(VLOOKUP($A34,'liste reference'!$B$7:$D$904,1,0)),"",VLOOKUP($A34,'liste reference'!$B$7:$D$904,1,0)),VLOOKUP($A34,'liste reference'!$A$7:$D$904,2,0))</f>
        <v>Mentha longifolia</v>
      </c>
      <c r="E34" s="496" t="e">
        <f aca="false">IF(D34="",0,VLOOKUP(D34,D$22:D33,1,0))</f>
        <v>#N/A</v>
      </c>
      <c r="F34" s="501" t="n">
        <f aca="false">($B34*$B$7+$C34*$C$7)/100</f>
        <v>0.00365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Mentha longifolia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19856</v>
      </c>
      <c r="Q34" s="486" t="n">
        <f aca="false">IF(ISTEXT(H34),"",(B34*$B$7/100)+(C34*$C$7/100))</f>
        <v>0.00365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MENLON</v>
      </c>
      <c r="Z34" s="280" t="n">
        <f aca="false">IF(ISERROR(MATCH(A34,'liste reference'!$A$8:$A$904,0)),IF(ISERROR(MATCH(A34,'liste reference'!$B$8:$B$904,0)),"",(MATCH(A34,'liste reference'!$B$8:$B$904,0))),(MATCH(A34,'liste reference'!$A$8:$A$904,0)))</f>
        <v>609</v>
      </c>
      <c r="AA34" s="491"/>
      <c r="AB34" s="492"/>
      <c r="AC34" s="492"/>
      <c r="BB34" s="280" t="n">
        <f aca="false">IF(A34="","",1)</f>
        <v>1</v>
      </c>
    </row>
    <row r="35" customFormat="false" ht="12.75" hidden="false" customHeight="false" outlineLevel="0" collapsed="false">
      <c r="A35" s="493" t="s">
        <v>2685</v>
      </c>
      <c r="B35" s="494" t="n">
        <v>0.05</v>
      </c>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0.0365</v>
      </c>
      <c r="G35" s="479" t="str">
        <f aca="false">IF(A35="","",IF(ISERROR(VLOOKUP($A35,'liste reference'!$A$7:$P$904,13,0)),IF(ISERROR(VLOOKUP($A35,'liste reference'!$B$7:$P$904,12,0)),"    -",VLOOKUP($A35,'liste reference'!$B$7:$P$904,12,0)),VLOOKUP($A35,'liste reference'!$A$7:$P$904,13,0)))</f>
        <v>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Didymodon spadiceus</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No</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NEWCOD</v>
      </c>
      <c r="Z35" s="280" t="str">
        <f aca="false">IF(ISERROR(MATCH(A35,'liste reference'!$A$8:$A$904,0)),IF(ISERROR(MATCH(A35,'liste reference'!$B$8:$B$904,0)),"",(MATCH(A35,'liste reference'!$B$8:$B$904,0))),(MATCH(A35,'liste reference'!$A$8:$A$904,0)))</f>
        <v/>
      </c>
      <c r="AA35" s="491"/>
      <c r="AB35" s="492" t="s">
        <v>2686</v>
      </c>
      <c r="AC35" s="492"/>
      <c r="BB35" s="280" t="n">
        <f aca="false">IF(A35="","",1)</f>
        <v>1</v>
      </c>
    </row>
    <row r="36" customFormat="false" ht="12.75" hidden="false" customHeight="false" outlineLevel="0" collapsed="false">
      <c r="A36" s="493" t="s">
        <v>2685</v>
      </c>
      <c r="B36" s="494" t="n">
        <v>0.01</v>
      </c>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0.0073</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Pohlia sp.</v>
      </c>
      <c r="L36" s="498"/>
      <c r="M36" s="498"/>
      <c r="N36" s="498"/>
      <c r="O36" s="484" t="s">
        <v>2687</v>
      </c>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t="s">
        <v>2687</v>
      </c>
      <c r="AB36" s="492" t="s">
        <v>2688</v>
      </c>
      <c r="AC36" s="492"/>
      <c r="BB36" s="280" t="n">
        <f aca="false">IF(A36="","",1)</f>
        <v>1</v>
      </c>
    </row>
    <row r="37" customFormat="false" ht="12.75" hidden="false" customHeight="false" outlineLevel="0" collapsed="false">
      <c r="A37" s="493" t="s">
        <v>2685</v>
      </c>
      <c r="B37" s="494" t="n">
        <v>0.05</v>
      </c>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0.0365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Achnantherum calamagrostis</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2689</v>
      </c>
      <c r="AC37" s="492"/>
      <c r="BB37" s="280" t="n">
        <f aca="false">IF(A37="","",1)</f>
        <v>1</v>
      </c>
    </row>
    <row r="38" customFormat="false" ht="12.75" hidden="false" customHeight="false" outlineLevel="0" collapsed="false">
      <c r="A38" s="493" t="s">
        <v>2685</v>
      </c>
      <c r="B38" s="494"/>
      <c r="C38" s="495" t="n">
        <v>0.005</v>
      </c>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0.00135</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Tussilago farfara</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2690</v>
      </c>
      <c r="AC38" s="492"/>
      <c r="BB38" s="280" t="n">
        <f aca="false">IF(A38="","",1)</f>
        <v>1</v>
      </c>
    </row>
    <row r="39" customFormat="false" ht="12.75" hidden="false" customHeight="false" outlineLevel="0" collapsed="false">
      <c r="A39" s="493" t="s">
        <v>2685</v>
      </c>
      <c r="B39" s="494"/>
      <c r="C39" s="495" t="n">
        <v>0.005</v>
      </c>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0.00135</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Graminée x</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2691</v>
      </c>
      <c r="AC39" s="492"/>
      <c r="BB39" s="280" t="n">
        <f aca="false">IF(A39="","",1)</f>
        <v>1</v>
      </c>
    </row>
    <row r="40" customFormat="false" ht="12.75" hidden="false" customHeight="false" outlineLevel="0" collapsed="false">
      <c r="A40" s="493" t="s">
        <v>2685</v>
      </c>
      <c r="B40" s="494"/>
      <c r="C40" s="495" t="n">
        <v>0.005</v>
      </c>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0.00135</v>
      </c>
      <c r="G40" s="479" t="str">
        <f aca="false">IF(A40="","",IF(ISERROR(VLOOKUP($A40,'liste reference'!$A$7:$P$904,13,0)),IF(ISERROR(VLOOKUP($A40,'liste reference'!$B$7:$P$904,12,0)),"    -",VLOOKUP($A40,'liste reference'!$B$7:$P$904,12,0)),VLOOKUP($A40,'liste reference'!$A$7:$P$904,13,0)))</f>
        <v>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Gymnostomum recurvirostrum</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No</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NEWCOD</v>
      </c>
      <c r="Z40" s="280" t="str">
        <f aca="false">IF(ISERROR(MATCH(A40,'liste reference'!$A$8:$A$904,0)),IF(ISERROR(MATCH(A40,'liste reference'!$B$8:$B$904,0)),"",(MATCH(A40,'liste reference'!$B$8:$B$904,0))),(MATCH(A40,'liste reference'!$A$8:$A$904,0)))</f>
        <v/>
      </c>
      <c r="AA40" s="491"/>
      <c r="AB40" s="492" t="s">
        <v>2692</v>
      </c>
      <c r="AC40" s="492"/>
      <c r="BB40" s="280" t="n">
        <f aca="false">IF(A40="","",1)</f>
        <v>1</v>
      </c>
    </row>
    <row r="41" customFormat="false" ht="12.75" hidden="false" customHeight="false" outlineLevel="0" collapsed="false">
      <c r="A41" s="493" t="s">
        <v>2685</v>
      </c>
      <c r="B41" s="494" t="n">
        <v>0.005</v>
      </c>
      <c r="C41" s="495" t="n">
        <v>0.005</v>
      </c>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0.005</v>
      </c>
      <c r="G41" s="479" t="str">
        <f aca="false">IF(A41="","",IF(ISERROR(VLOOKUP($A41,'liste reference'!$A$7:$P$904,13,0)),IF(ISERROR(VLOOKUP($A41,'liste reference'!$B$7:$P$904,12,0)),"    -",VLOOKUP($A41,'liste reference'!$B$7:$P$904,12,0)),VLOOKUP($A41,'liste reference'!$A$7:$P$904,13,0)))</f>
        <v>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Trichostomum crispulum</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No</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NEWCOD</v>
      </c>
      <c r="Z41" s="280" t="str">
        <f aca="false">IF(ISERROR(MATCH(A41,'liste reference'!$A$8:$A$904,0)),IF(ISERROR(MATCH(A41,'liste reference'!$B$8:$B$904,0)),"",(MATCH(A41,'liste reference'!$B$8:$B$904,0))),(MATCH(A41,'liste reference'!$A$8:$A$904,0)))</f>
        <v/>
      </c>
      <c r="AA41" s="491"/>
      <c r="AB41" s="492" t="s">
        <v>2693</v>
      </c>
      <c r="AC41" s="492"/>
      <c r="BB41" s="280" t="n">
        <f aca="false">IF(A41="","",1)</f>
        <v>1</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Paillon de Contes</v>
      </c>
      <c r="B84" s="529" t="str">
        <f aca="false">C3</f>
        <v>Coaraze</v>
      </c>
      <c r="C84" s="530" t="n">
        <f aca="false">A4</f>
        <v>41431</v>
      </c>
      <c r="D84" s="531" t="n">
        <f aca="false">IF(ISERROR(SUM($T$23:$T$82)/SUM($U$23:$U$82)),"",SUM($T$23:$T$82)/SUM($U$23:$U$82))</f>
        <v>14.9166666666667</v>
      </c>
      <c r="E84" s="532" t="n">
        <f aca="false">N13</f>
        <v>19</v>
      </c>
      <c r="F84" s="529" t="n">
        <f aca="false">N14</f>
        <v>12</v>
      </c>
      <c r="G84" s="529" t="n">
        <f aca="false">N15</f>
        <v>1</v>
      </c>
      <c r="H84" s="529" t="n">
        <f aca="false">N16</f>
        <v>3</v>
      </c>
      <c r="I84" s="529" t="n">
        <f aca="false">N17</f>
        <v>1</v>
      </c>
      <c r="J84" s="533" t="n">
        <f aca="false">N8</f>
        <v>5.83333333333333</v>
      </c>
      <c r="K84" s="531" t="n">
        <f aca="false">N9</f>
        <v>7.19760762722973</v>
      </c>
      <c r="L84" s="532" t="n">
        <f aca="false">N10</f>
        <v>0</v>
      </c>
      <c r="M84" s="532" t="n">
        <f aca="false">N11</f>
        <v>18</v>
      </c>
      <c r="N84" s="531" t="n">
        <f aca="false">O8</f>
        <v>0.833333333333333</v>
      </c>
      <c r="O84" s="531" t="n">
        <f aca="false">O9</f>
        <v>1.06718737290547</v>
      </c>
      <c r="P84" s="532" t="n">
        <f aca="false">O10</f>
        <v>0</v>
      </c>
      <c r="Q84" s="532" t="n">
        <f aca="false">O11</f>
        <v>3</v>
      </c>
      <c r="R84" s="532" t="n">
        <f aca="false">F21</f>
        <v>0.3859</v>
      </c>
      <c r="S84" s="532" t="n">
        <f aca="false">K11</f>
        <v>0</v>
      </c>
      <c r="T84" s="532" t="n">
        <f aca="false">K12</f>
        <v>3</v>
      </c>
      <c r="U84" s="532" t="n">
        <f aca="false">K13</f>
        <v>5</v>
      </c>
      <c r="V84" s="534" t="n">
        <f aca="false">K14</f>
        <v>1</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30</v>
      </c>
      <c r="T87" s="280"/>
      <c r="U87" s="280"/>
      <c r="V87" s="280"/>
    </row>
    <row r="88" customFormat="false" ht="12.75" hidden="true" customHeight="false" outlineLevel="0" collapsed="false">
      <c r="P88" s="280"/>
      <c r="Q88" s="280" t="s">
        <v>2697</v>
      </c>
      <c r="R88" s="280"/>
      <c r="S88" s="488" t="n">
        <f aca="false">VLOOKUP((S87),($S$23:$U$82),2,0)</f>
        <v>60</v>
      </c>
      <c r="T88" s="280"/>
      <c r="U88" s="280"/>
      <c r="V88" s="280"/>
    </row>
    <row r="89" customFormat="false" ht="12.75" hidden="true" customHeight="false" outlineLevel="0" collapsed="false">
      <c r="Q89" s="280" t="s">
        <v>2698</v>
      </c>
      <c r="R89" s="280"/>
      <c r="S89" s="488" t="n">
        <f aca="false">VLOOKUP((S87),($S$23:$U$82),3,0)</f>
        <v>4</v>
      </c>
      <c r="T89" s="280"/>
    </row>
    <row r="90" customFormat="false" ht="12.75" hidden="false" customHeight="false" outlineLevel="0" collapsed="false">
      <c r="Q90" s="280" t="s">
        <v>2699</v>
      </c>
      <c r="R90" s="280"/>
      <c r="S90" s="538" t="n">
        <f aca="false">IF(ISERROR(SUM($T$23:$T$82)/SUM($U$23:$U$82)),"",(SUM($T$23:$T$82)-S88)/(SUM($U$23:$U$82)-S89))</f>
        <v>14.875</v>
      </c>
      <c r="T90" s="280"/>
    </row>
    <row r="91" customFormat="false" ht="12.75" hidden="false" customHeight="false" outlineLevel="0" collapsed="false">
      <c r="Q91" s="487" t="s">
        <v>2700</v>
      </c>
      <c r="R91" s="487"/>
      <c r="S91" s="487" t="str">
        <f aca="false">INDEX('liste reference'!$A$8:$A$904,$T$91)</f>
        <v>CRACOM</v>
      </c>
      <c r="T91" s="280" t="n">
        <f aca="false">IF(ISERROR(MATCH($S$93,'liste reference'!$A$8:$A$904,0)),MATCH($S$93,'liste reference'!$B$8:$B$904,0),(MATCH($S$93,'liste reference'!$A$8:$A$904,0)))</f>
        <v>177</v>
      </c>
      <c r="U91" s="527"/>
    </row>
    <row r="92" customFormat="false" ht="12.75" hidden="false" customHeight="false" outlineLevel="0" collapsed="false">
      <c r="Q92" s="280" t="s">
        <v>2701</v>
      </c>
      <c r="R92" s="280"/>
      <c r="S92" s="280" t="n">
        <f aca="false">MATCH(S87,$S$23:$S$82,0)</f>
        <v>5</v>
      </c>
      <c r="T92" s="280"/>
    </row>
    <row r="93" customFormat="false" ht="12.75" hidden="false" customHeight="false" outlineLevel="0" collapsed="false">
      <c r="Q93" s="487" t="s">
        <v>2702</v>
      </c>
      <c r="R93" s="280"/>
      <c r="S93" s="487" t="str">
        <f aca="false">INDEX($A$23:$A$82,$S$92)</f>
        <v>CRACOM</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2703</v>
      </c>
      <c r="B2" s="284"/>
      <c r="C2" s="285" t="s">
        <v>2704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2705</v>
      </c>
      <c r="B3" s="284"/>
      <c r="C3" s="283" t="s">
        <v>2706</v>
      </c>
      <c r="D3" s="294"/>
      <c r="E3" s="294"/>
      <c r="F3" s="295"/>
      <c r="G3" s="295"/>
      <c r="H3" s="296"/>
      <c r="I3" s="297"/>
      <c r="J3" s="296"/>
      <c r="K3" s="298" t="s">
        <v>2707</v>
      </c>
      <c r="L3" s="299"/>
      <c r="M3" s="300" t="s">
        <v>2708</v>
      </c>
      <c r="N3" s="301"/>
      <c r="O3" s="301"/>
      <c r="P3" s="302"/>
      <c r="Q3" s="280"/>
      <c r="R3" s="280"/>
      <c r="S3" s="280"/>
      <c r="T3" s="280"/>
      <c r="U3" s="280"/>
      <c r="V3" s="280"/>
      <c r="W3" s="292"/>
      <c r="X3" s="293"/>
    </row>
    <row r="4" customFormat="false" ht="13.5" hidden="false" customHeight="false" outlineLevel="0" collapsed="false">
      <c r="A4" s="303" t="s">
        <v>2709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500"/>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500"/>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500"/>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500"/>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500"/>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X29" s="500"/>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500"/>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500"/>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500"/>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500"/>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500"/>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0"/>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500"/>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0"/>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500"/>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500"/>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500"/>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500"/>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500"/>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500"/>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500"/>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0"/>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500"/>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500"/>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500"/>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500"/>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500"/>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500"/>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500"/>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500"/>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500"/>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0"/>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500"/>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500"/>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500"/>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500"/>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500"/>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500"/>
      <c r="X62" s="500"/>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500"/>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500"/>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500"/>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500"/>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500"/>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500"/>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500"/>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500"/>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500"/>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500"/>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500"/>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500"/>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500"/>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500"/>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500"/>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500"/>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500"/>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500"/>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500"/>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2695</v>
      </c>
      <c r="R86" s="280"/>
      <c r="S86" s="488"/>
      <c r="T86" s="280"/>
      <c r="U86" s="280"/>
      <c r="V86" s="280"/>
    </row>
    <row r="87" customFormat="false" ht="12.75" hidden="true" customHeight="false" outlineLevel="0" collapsed="false">
      <c r="P87" s="280"/>
      <c r="Q87" s="280" t="s">
        <v>2696</v>
      </c>
      <c r="R87" s="280"/>
      <c r="S87" s="488" t="n">
        <f aca="false">VLOOKUP(MAX($S$23:$S$82),($S$23:$U$82),1,0)</f>
        <v>0</v>
      </c>
      <c r="T87" s="280"/>
      <c r="U87" s="280"/>
      <c r="V87" s="280"/>
    </row>
    <row r="88" customFormat="false" ht="12.75" hidden="true" customHeight="false" outlineLevel="0" collapsed="false">
      <c r="P88" s="280"/>
      <c r="Q88" s="280" t="s">
        <v>2697</v>
      </c>
      <c r="R88" s="280"/>
      <c r="S88" s="488" t="n">
        <f aca="false">VLOOKUP((S87),($S$23:$U$82),2,0)</f>
        <v>0</v>
      </c>
      <c r="T88" s="280"/>
      <c r="U88" s="280"/>
      <c r="V88" s="280"/>
    </row>
    <row r="89" customFormat="false" ht="12.75" hidden="true" customHeight="false" outlineLevel="0" collapsed="false">
      <c r="Q89" s="280" t="s">
        <v>2698</v>
      </c>
      <c r="R89" s="280"/>
      <c r="S89" s="488" t="n">
        <f aca="false">VLOOKUP((S87),($S$23:$U$82),3,0)</f>
        <v>0</v>
      </c>
      <c r="T89" s="280"/>
    </row>
    <row r="90" customFormat="false" ht="12.75" hidden="false" customHeight="false" outlineLevel="0" collapsed="false">
      <c r="Q90" s="280" t="s">
        <v>2699</v>
      </c>
      <c r="R90" s="280"/>
      <c r="S90" s="538" t="str">
        <f aca="false">IF(ISERROR(SUM($T$23:$T$82)/SUM($U$23:$U$82)),"",(SUM($T$23:$T$82)-S88)/(SUM($U$23:$U$82)-S89))</f>
        <v/>
      </c>
      <c r="T90" s="280"/>
    </row>
    <row r="91" customFormat="false" ht="12.75" hidden="false" customHeight="false" outlineLevel="0" collapsed="false">
      <c r="Q91" s="487" t="s">
        <v>2700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2701</v>
      </c>
      <c r="R92" s="280"/>
      <c r="S92" s="280" t="n">
        <f aca="false">MATCH(S87,$S$23:$S$82,0)</f>
        <v>1</v>
      </c>
      <c r="T92" s="280"/>
    </row>
    <row r="93" customFormat="false" ht="12.75" hidden="false" customHeight="false" outlineLevel="0" collapsed="false">
      <c r="Q93" s="487" t="s">
        <v>2702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2710</v>
      </c>
      <c r="B1" s="549"/>
      <c r="C1" s="549"/>
      <c r="D1" s="549"/>
    </row>
    <row r="2" customFormat="false" ht="15" hidden="false" customHeight="false" outlineLevel="0" collapsed="false">
      <c r="A2" s="550" t="s">
        <v>2711</v>
      </c>
      <c r="B2" s="551"/>
      <c r="C2" s="552"/>
      <c r="D2" s="552"/>
    </row>
    <row r="3" customFormat="false" ht="15.75" hidden="false" customHeight="false" outlineLevel="0" collapsed="false">
      <c r="A3" s="550" t="s">
        <v>2712</v>
      </c>
      <c r="B3" s="551"/>
      <c r="C3" s="552"/>
      <c r="D3" s="553" t="s">
        <v>2713</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2714</v>
      </c>
      <c r="G15" s="571"/>
      <c r="H15" s="572" t="s">
        <v>2715</v>
      </c>
      <c r="I15" s="571"/>
    </row>
    <row r="16" customFormat="false" ht="15" hidden="false" customHeight="false" outlineLevel="0" collapsed="false">
      <c r="A16" s="567" t="s">
        <v>1708</v>
      </c>
      <c r="B16" s="566" t="s">
        <v>1709</v>
      </c>
      <c r="C16" s="568"/>
      <c r="D16" s="569"/>
      <c r="F16" s="573" t="s">
        <v>2716</v>
      </c>
      <c r="G16" s="574"/>
      <c r="H16" s="573" t="s">
        <v>2716</v>
      </c>
      <c r="I16" s="575"/>
    </row>
    <row r="17" customFormat="false" ht="15" hidden="false" customHeight="false" outlineLevel="0" collapsed="false">
      <c r="A17" s="565" t="s">
        <v>2127</v>
      </c>
      <c r="B17" s="566" t="s">
        <v>2128</v>
      </c>
      <c r="C17" s="568"/>
      <c r="D17" s="569"/>
      <c r="F17" s="576" t="s">
        <v>2717</v>
      </c>
      <c r="G17" s="577"/>
      <c r="H17" s="576" t="s">
        <v>2717</v>
      </c>
      <c r="I17" s="578"/>
    </row>
    <row r="18" customFormat="false" ht="15" hidden="false" customHeight="false" outlineLevel="0" collapsed="false">
      <c r="A18" s="565" t="s">
        <v>1212</v>
      </c>
      <c r="B18" s="566" t="s">
        <v>1213</v>
      </c>
      <c r="C18" s="568"/>
      <c r="D18" s="569"/>
      <c r="F18" s="576" t="s">
        <v>2718</v>
      </c>
      <c r="G18" s="577"/>
      <c r="H18" s="576" t="s">
        <v>2718</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2719</v>
      </c>
      <c r="G20" s="577"/>
      <c r="H20" s="576" t="s">
        <v>2719</v>
      </c>
      <c r="I20" s="578"/>
    </row>
    <row r="21" customFormat="false" ht="15" hidden="false" customHeight="false" outlineLevel="0" collapsed="false">
      <c r="A21" s="567" t="s">
        <v>1720</v>
      </c>
      <c r="B21" s="566" t="s">
        <v>1721</v>
      </c>
      <c r="C21" s="568"/>
      <c r="D21" s="569"/>
      <c r="F21" s="576" t="s">
        <v>2720</v>
      </c>
      <c r="G21" s="577"/>
      <c r="H21" s="576" t="s">
        <v>2720</v>
      </c>
      <c r="I21" s="578"/>
    </row>
    <row r="22" customFormat="false" ht="15" hidden="false" customHeight="false" outlineLevel="0" collapsed="false">
      <c r="A22" s="565" t="s">
        <v>1726</v>
      </c>
      <c r="B22" s="566" t="s">
        <v>1727</v>
      </c>
      <c r="C22" s="568"/>
      <c r="D22" s="569"/>
      <c r="F22" s="576" t="s">
        <v>2721</v>
      </c>
      <c r="G22" s="577"/>
      <c r="H22" s="576" t="s">
        <v>2721</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2722</v>
      </c>
      <c r="G24" s="577"/>
      <c r="H24" s="576" t="s">
        <v>2722</v>
      </c>
      <c r="I24" s="578"/>
    </row>
    <row r="25" customFormat="false" ht="15" hidden="false" customHeight="false" outlineLevel="0" collapsed="false">
      <c r="A25" s="565" t="s">
        <v>2133</v>
      </c>
      <c r="B25" s="566" t="s">
        <v>2134</v>
      </c>
      <c r="C25" s="568"/>
      <c r="D25" s="569"/>
      <c r="F25" s="579" t="s">
        <v>2723</v>
      </c>
      <c r="G25" s="580"/>
      <c r="H25" s="579" t="s">
        <v>2723</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2724</v>
      </c>
    </row>
    <row r="35" customFormat="false" ht="15" hidden="false" customHeight="false" outlineLevel="0" collapsed="false">
      <c r="A35" s="565" t="s">
        <v>52</v>
      </c>
      <c r="B35" s="566" t="s">
        <v>53</v>
      </c>
      <c r="C35" s="568"/>
      <c r="D35" s="569"/>
      <c r="F35" s="583" t="s">
        <v>2725</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2726</v>
      </c>
      <c r="C37" s="568"/>
      <c r="D37" s="569"/>
      <c r="F37" s="585" t="s">
        <v>2727</v>
      </c>
    </row>
    <row r="38" customFormat="false" ht="15" hidden="false" customHeight="false" outlineLevel="0" collapsed="false">
      <c r="A38" s="565" t="s">
        <v>2145</v>
      </c>
      <c r="B38" s="566" t="s">
        <v>2146</v>
      </c>
      <c r="C38" s="568"/>
      <c r="D38" s="569"/>
      <c r="F38" s="585" t="s">
        <v>2728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2729</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2730</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2731</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2732</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2733</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2734</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2735</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2014-06-03T09:30:09Z</dcterms:modified>
  <cp:revision>0</cp:revision>
  <dc:subject/>
  <dc:title>Feuille d'aide au calcul de l'IBMR</dc:title>
</cp:coreProperties>
</file>