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710030" sheetId="6" state="visible" r:id="rId8"/>
    <sheet name="jgjg" sheetId="7" state="hidden" r:id="rId9"/>
    <sheet name="liste codes réf" sheetId="8" state="hidden" r:id="rId10"/>
  </sheets>
  <definedNames>
    <definedName function="false" hidden="false" localSheetId="5" name="_xlnm.Print_Area" vbProcedure="false">'06710030'!$A$1:$Q$82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'06710030'!$A$1:$Q$82</definedName>
    <definedName function="false" hidden="false" localSheetId="5" name="_xlnm__FilterDatabase" vbProcedure="false">'06710030'!$A$1:$C$1415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<sst xmlns="http://schemas.openxmlformats.org/spreadsheetml/2006/main" count="8837" uniqueCount="3496">
  <si>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</si>
  <si>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</si>
  <si>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</si>
  <si>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</si>
  <si>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</si>
  <si>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</si>
  <si>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</si>
  <si>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</si>
  <si>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</si>
  <si>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</si>
  <si>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</si>
  <si>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</si>
  <si>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</si>
  <si>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</si>
  <si>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</si>
  <si>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</si>
  <si>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</si>
  <si>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</si>
  <si>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</si>
  <si>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</si>
  <si>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</si>
  <si>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</si>
  <si>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</si>
  <si>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</si>
  <si>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</si>
  <si>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</si>
  <si>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</si>
  <si>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</si>
  <si>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</si>
  <si>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</si>
  <si>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</si>
  <si>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</si>
  <si>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</si>
  <si>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</si>
  <si>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</si>
  <si>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</si>
  <si>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</si>
  <si>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</si>
  <si>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</si>
  <si>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</si>
  <si>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</si>
  <si>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</si>
  <si>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</si>
  <si>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</si>
  <si>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</si>
  <si>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</si>
  <si>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</si>
  <si>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</si>
  <si>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</si>
  <si>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</si>
  <si>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</si>
  <si>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</si>
  <si>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</si>
  <si>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</si>
  <si>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</si>
  <si>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</si>
  <si>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</si>
  <si>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</si>
  <si>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</si>
  <si>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</si>
  <si>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</si>
  <si>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</si>
  <si>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</si>
  <si>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</si>
  <si>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</si>
  <si>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</si>
  <si>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</si>
  <si>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</si>
  <si>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</si>
  <si>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</si>
  <si>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</si>
  <si>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</si>
  <si>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</si>
  <si>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</si>
  <si>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</si>
  <si>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</si>
  <si>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</si>
  <si>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</si>
  <si>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</si>
  <si>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</si>
  <si>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</si>
  <si>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</si>
  <si>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</si>
  <si>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</si>
  <si>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</si>
  <si>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</si>
  <si>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</si>
  <si>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</si>
  <si>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</si>
  <si>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</si>
  <si>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</si>
  <si>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</si>
  <si>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</si>
  <si>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</si>
  <si>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</si>
  <si>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</si>
  <si>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</si>
  <si>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</si>
  <si>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</si>
  <si>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</si>
  <si>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</si>
  <si>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</si>
  <si>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</si>
  <si>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</si>
  <si>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</si>
  <si>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</si>
  <si>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</si>
  <si>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</si>
  <si>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</si>
  <si>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</si>
  <si>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</si>
  <si>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</si>
  <si>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</si>
  <si>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</si>
  <si>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</si>
  <si>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</si>
  <si>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</si>
  <si>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</si>
  <si>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</si>
  <si>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</si>
  <si>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</si>
  <si>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</si>
  <si>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</si>
  <si>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</si>
  <si>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</si>
  <si>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</si>
  <si>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</si>
  <si>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</si>
  <si>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</si>
  <si>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</si>
  <si>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</si>
  <si>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</si>
  <si>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</si>
  <si>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</si>
  <si>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</si>
  <si>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</si>
  <si>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</si>
  <si>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</si>
  <si>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</si>
  <si>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</si>
  <si>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</si>
  <si>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</si>
  <si>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</si>
  <si>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</si>
  <si>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</si>
  <si>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</si>
  <si>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</si>
  <si>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</si>
  <si>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</si>
  <si>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</si>
  <si>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</si>
  <si>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</si>
  <si>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</si>
  <si>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</si>
  <si>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</si>
  <si>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</si>
  <si>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</si>
  <si>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</si>
  <si>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</si>
  <si>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</si>
  <si>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</si>
  <si>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</si>
  <si>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</si>
  <si>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</si>
  <si>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</si>
  <si>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</si>
  <si>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</si>
  <si>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</si>
  <si>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</si>
  <si>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</si>
  <si>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</si>
  <si>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</si>
  <si>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</si>
  <si>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</si>
  <si>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</si>
  <si>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</si>
  <si>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</si>
  <si>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</si>
  <si>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</si>
  <si>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</si>
  <si>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</si>
  <si>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</si>
  <si>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</si>
  <si>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</si>
  <si>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</si>
  <si>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</si>
  <si>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</si>
  <si>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</si>
  <si>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</si>
  <si>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</si>
  <si>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</si>
  <si>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</si>
  <si>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</si>
  <si>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</si>
  <si>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</si>
  <si>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</si>
  <si>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</si>
  <si>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</si>
  <si>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</si>
  <si>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</si>
  <si>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</si>
  <si>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</si>
  <si>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</si>
  <si>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</si>
  <si>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</si>
  <si>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</si>
  <si>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</si>
  <si>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</si>
  <si>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</si>
  <si>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</si>
  <si>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</si>
  <si>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</si>
  <si>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</si>
  <si>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</si>
  <si>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</si>
  <si>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</si>
  <si>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</si>
  <si>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</si>
  <si>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</si>
  <si>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</si>
  <si>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</si>
  <si>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</si>
  <si>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</si>
  <si>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</si>
  <si>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</si>
  <si>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</si>
  <si>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</si>
  <si>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</si>
  <si>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</si>
  <si>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</si>
  <si>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</si>
  <si>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</si>
  <si>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</si>
  <si>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</si>
  <si>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</si>
  <si>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</si>
  <si>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</si>
  <si>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</si>
  <si>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</si>
  <si>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</si>
  <si>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</si>
  <si>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</si>
  <si>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</si>
  <si>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</si>
  <si>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</si>
  <si>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</si>
  <si>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</si>
  <si>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</si>
  <si>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</si>
  <si>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</si>
  <si>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</si>
  <si>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</si>
  <si>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</si>
  <si>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</si>
  <si>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</si>
  <si>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</si>
  <si>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</si>
  <si>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</si>
  <si>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</si>
  <si>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</si>
  <si>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</si>
  <si>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</si>
  <si>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</si>
  <si>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</si>
  <si>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</si>
  <si>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</si>
  <si>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</si>
  <si>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</si>
  <si>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</si>
  <si>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</si>
  <si>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</si>
  <si>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</si>
  <si>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</si>
  <si>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</si>
  <si>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</si>
  <si>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</si>
  <si>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</si>
  <si>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</si>
  <si>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</si>
  <si>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</si>
  <si>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</si>
  <si>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</si>
  <si>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</si>
  <si>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</si>
  <si>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</si>
  <si>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</si>
  <si>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</si>
  <si>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</si>
  <si>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</si>
  <si>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</si>
  <si>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</si>
  <si>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</si>
  <si>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</si>
  <si>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</si>
  <si>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</si>
  <si>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</si>
  <si>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</si>
  <si>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</si>
  <si>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</si>
  <si>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</si>
  <si>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</si>
  <si>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</si>
  <si>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</si>
  <si>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</si>
  <si>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</si>
  <si>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</si>
  <si>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</si>
  <si>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</si>
  <si>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</si>
  <si>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</si>
  <si>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</si>
  <si>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</si>
  <si>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</si>
  <si>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</si>
  <si>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</si>
  <si>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</si>
  <si>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</si>
  <si>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</si>
  <si>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</si>
  <si>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</si>
  <si>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</si>
  <si>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</si>
  <si>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</si>
  <si>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</si>
  <si>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</si>
  <si>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</si>
  <si>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</si>
  <si>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</si>
  <si>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</si>
  <si>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</si>
  <si>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</si>
  <si>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</si>
  <si>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</si>
  <si>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</si>
  <si>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</si>
  <si>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</si>
  <si>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</si>
  <si>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</si>
  <si>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</si>
  <si>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</si>
  <si>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</si>
  <si>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</si>
  <si>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</si>
  <si>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</si>
  <si>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</si>
  <si>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</si>
  <si>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</si>
  <si>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</si>
  <si>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</si>
  <si>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</si>
  <si>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</si>
  <si>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</si>
  <si>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</si>
  <si>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</si>
  <si>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</si>
  <si>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</si>
  <si>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</si>
  <si>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</si>
  <si>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</si>
  <si>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</si>
  <si>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</si>
  <si>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</si>
  <si>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</si>
  <si>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</si>
  <si>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</si>
  <si>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</si>
  <si>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</si>
  <si>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</si>
  <si>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</si>
  <si>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</si>
  <si>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</si>
  <si>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</si>
  <si>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</si>
  <si>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</si>
  <si>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</si>
  <si>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</si>
  <si>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</si>
  <si>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</si>
  <si>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</si>
  <si>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</si>
  <si>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</si>
  <si>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</si>
  <si>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</si>
  <si>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</si>
  <si>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</si>
  <si>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</si>
  <si>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</si>
  <si>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</si>
  <si>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</si>
  <si>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</si>
  <si>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</si>
  <si>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</si>
  <si>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</si>
  <si>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</si>
  <si>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</si>
  <si>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</si>
  <si>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</si>
  <si>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</si>
  <si>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</si>
  <si>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</si>
  <si>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</si>
  <si>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</si>
  <si>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</si>
  <si>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</si>
  <si>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</si>
  <si>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</si>
  <si>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</si>
  <si>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</si>
  <si>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</si>
  <si>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</si>
  <si>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</si>
  <si>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</si>
  <si>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</si>
  <si>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</si>
  <si>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</si>
  <si>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</si>
  <si>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</si>
  <si>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</si>
  <si>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</si>
  <si>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</si>
  <si>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</si>
  <si>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</si>
  <si>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</si>
  <si>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</si>
  <si>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</si>
  <si>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</si>
  <si>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</si>
  <si>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</si>
  <si>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</si>
  <si>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</si>
  <si>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</si>
  <si>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</si>
  <si>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</si>
  <si>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</si>
  <si>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</si>
  <si>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</si>
  <si>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</si>
  <si>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</si>
  <si>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</si>
  <si>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</si>
  <si>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</si>
  <si>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</si>
  <si>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</si>
  <si>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</si>
  <si>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</si>
  <si>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</si>
  <si>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</si>
  <si>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</si>
  <si>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</si>
  <si>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</si>
  <si>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</si>
  <si>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</si>
  <si>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</si>
  <si>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</si>
  <si>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</si>
  <si>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</si>
  <si>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</si>
  <si>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</si>
  <si>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</si>
  <si>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</si>
  <si>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</si>
  <si>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</si>
  <si>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</si>
  <si>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</si>
  <si>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</si>
  <si>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</si>
  <si>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</si>
  <si>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</si>
  <si>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</si>
  <si>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</si>
  <si>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</si>
  <si>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</si>
  <si>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</si>
  <si>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</si>
  <si>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</si>
  <si>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</si>
  <si>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</si>
  <si>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</si>
  <si>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</si>
  <si>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</si>
  <si>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</si>
  <si>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</si>
  <si>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</si>
  <si>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</si>
  <si>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</si>
  <si>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</si>
  <si>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</si>
  <si>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</si>
  <si>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</si>
  <si>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</si>
  <si>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</si>
  <si>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</si>
  <si>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</si>
  <si>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</si>
  <si>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</si>
  <si>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</si>
  <si>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</si>
  <si>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</si>
  <si>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</si>
  <si>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</si>
  <si>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</si>
  <si>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</si>
  <si>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</si>
  <si>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</si>
  <si>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</si>
  <si>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</si>
  <si>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</si>
  <si>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</si>
  <si>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</si>
  <si>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</si>
  <si>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</si>
  <si>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</si>
  <si>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</si>
  <si>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</si>
  <si>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</si>
  <si>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</si>
  <si>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</si>
  <si>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</si>
  <si>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</si>
  <si>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</si>
  <si>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</si>
  <si>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</si>
  <si>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</si>
  <si>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</si>
  <si>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</si>
  <si>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</si>
  <si>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</si>
  <si>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</si>
  <si>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</si>
  <si>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</si>
  <si>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</si>
  <si>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</si>
  <si>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</si>
  <si>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</si>
  <si>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</si>
  <si>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</si>
  <si>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</si>
  <si>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</si>
  <si>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</si>
  <si>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</si>
  <si>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</si>
  <si>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</si>
  <si>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</si>
  <si>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</si>
  <si>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</si>
  <si>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</si>
  <si>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</si>
  <si>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</si>
  <si>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</si>
  <si>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</si>
  <si>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</si>
  <si>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</si>
  <si>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</si>
  <si>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</si>
  <si>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</si>
  <si>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</si>
  <si>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</si>
  <si>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</si>
  <si>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</si>
  <si>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</si>
  <si>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</si>
  <si>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</si>
  <si>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</si>
  <si>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</si>
  <si>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</si>
  <si>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</si>
  <si>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</si>
  <si>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</si>
  <si>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</si>
  <si>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</si>
  <si>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</si>
  <si>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</si>
  <si>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</si>
  <si>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</si>
  <si>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</si>
  <si>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</si>
  <si>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</si>
  <si>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</si>
  <si>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</si>
  <si>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</si>
  <si>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</si>
  <si>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</si>
  <si>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</si>
  <si>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</si>
  <si>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</si>
  <si>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</si>
  <si>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</si>
  <si>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</si>
  <si>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</si>
  <si>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</si>
  <si>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</si>
  <si>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</si>
  <si>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</si>
  <si>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</si>
  <si>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</si>
  <si>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</si>
  <si>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</si>
  <si>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</si>
  <si>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</si>
  <si>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</si>
  <si>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</si>
  <si>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</si>
  <si>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</si>
  <si>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</si>
  <si>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</si>
  <si>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</si>
  <si>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</si>
  <si>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</si>
  <si>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</si>
  <si>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</si>
  <si>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</si>
  <si>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</si>
  <si>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</si>
  <si>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</si>
  <si>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</si>
  <si>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</si>
  <si>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</si>
  <si>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</si>
  <si>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</si>
  <si>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</si>
  <si>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</si>
  <si>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</si>
  <si>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</si>
  <si>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</si>
  <si>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</si>
  <si>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</si>
  <si>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</si>
  <si>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</si>
  <si>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</si>
  <si>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</si>
  <si>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</si>
  <si>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</si>
  <si>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</si>
  <si>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</si>
  <si>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</si>
  <si>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</si>
  <si>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</si>
  <si>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</si>
  <si>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</si>
  <si>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</si>
  <si>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</si>
  <si>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</si>
  <si>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</si>
  <si>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</si>
  <si>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</si>
  <si>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</si>
  <si>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</si>
  <si>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</si>
  <si>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</si>
  <si>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</si>
  <si>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</si>
  <si>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</si>
  <si>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</si>
  <si>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</si>
  <si>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</si>
  <si>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</si>
  <si>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</si>
  <si>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</si>
  <si>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</si>
  <si>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</si>
  <si>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</si>
  <si>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</si>
  <si>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</si>
  <si>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</si>
  <si>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</si>
  <si>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</si>
  <si>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</si>
  <si>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</si>
  <si>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</si>
  <si>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</si>
  <si>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</si>
  <si>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</si>
  <si>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</si>
  <si>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</si>
  <si>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</si>
  <si>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</si>
  <si>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</si>
  <si>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</si>
  <si>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</si>
  <si>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</si>
  <si>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</si>
  <si>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</si>
  <si>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</si>
  <si>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</si>
  <si>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</si>
  <si>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</si>
  <si>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</si>
  <si>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</si>
  <si>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</si>
  <si>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</si>
  <si>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</si>
  <si>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</si>
  <si>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</si>
  <si>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</si>
  <si>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</si>
  <si>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</si>
  <si>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</si>
  <si>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</si>
  <si>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</si>
  <si>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</si>
  <si>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</si>
  <si>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</si>
  <si>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</si>
  <si>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</si>
  <si>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</si>
  <si>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</si>
  <si>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</si>
  <si>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</si>
  <si>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</si>
  <si>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</si>
  <si>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</si>
  <si>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</si>
  <si>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</si>
  <si>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</si>
  <si>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</si>
  <si>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</si>
  <si>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</si>
  <si>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</si>
  <si>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</si>
  <si>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</si>
  <si>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</si>
  <si>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</si>
  <si>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</si>
  <si>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</si>
  <si>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</si>
  <si>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</si>
  <si>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</si>
  <si>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</si>
  <si>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</si>
  <si>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</si>
  <si>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</si>
  <si>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</si>
  <si>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</si>
  <si>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</si>
  <si>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</si>
  <si>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</si>
  <si>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</si>
  <si>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</si>
  <si>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</si>
  <si>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</si>
  <si>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</si>
  <si>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</si>
  <si>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</si>
  <si>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</si>
  <si>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</si>
  <si>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</si>
  <si>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</si>
  <si>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</si>
  <si>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</si>
  <si>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</si>
  <si>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</si>
  <si>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</si>
  <si>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</si>
  <si>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</si>
  <si>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</si>
  <si>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</si>
  <si>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</si>
  <si>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</si>
  <si>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</si>
  <si>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</si>
  <si>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</si>
  <si>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</si>
  <si>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</si>
  <si>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</si>
  <si>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</si>
  <si>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</si>
  <si>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</si>
  <si>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</si>
  <si>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</si>
  <si>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</si>
  <si>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</si>
  <si>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</si>
  <si>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</si>
  <si>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</si>
  <si>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</si>
  <si>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</si>
  <si>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</si>
  <si>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</si>
  <si>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</si>
  <si>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</si>
  <si>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</si>
  <si>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</si>
  <si>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</si>
  <si>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</si>
  <si>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</si>
  <si>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</si>
  <si>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</si>
  <si>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</si>
  <si>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</si>
  <si>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</si>
  <si>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</si>
  <si>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</si>
  <si>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</si>
  <si>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</si>
  <si>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</si>
  <si>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</si>
  <si>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</si>
  <si>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</si>
  <si>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</si>
  <si>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</si>
  <si>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</si>
  <si>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</si>
  <si>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</si>
  <si>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</si>
  <si>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</si>
  <si>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</si>
  <si>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</si>
  <si>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</si>
  <si>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</si>
  <si>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</si>
  <si>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</si>
  <si>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</si>
  <si>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</si>
  <si>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</si>
  <si>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</si>
  <si>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</si>
  <si>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</si>
  <si>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</si>
  <si>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</si>
  <si>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</si>
  <si>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</si>
  <si>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</si>
  <si>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</si>
  <si>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</si>
  <si>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</si>
  <si>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</si>
  <si>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</si>
  <si>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</si>
  <si>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</si>
  <si>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</si>
  <si>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</si>
  <si>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</si>
  <si>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</si>
  <si>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</si>
  <si>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</si>
  <si>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</si>
  <si>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</si>
  <si>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</si>
  <si>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</si>
  <si>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</si>
  <si>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</si>
  <si>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</si>
  <si>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</si>
  <si>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</si>
  <si>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</si>
  <si>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</si>
  <si>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</si>
  <si>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</si>
  <si>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</si>
  <si>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</si>
  <si>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</si>
  <si>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</si>
  <si>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</si>
  <si>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</si>
  <si>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</si>
  <si>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</si>
  <si>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</si>
  <si>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</si>
  <si>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</si>
  <si>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</si>
  <si>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</si>
  <si>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</si>
  <si>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</si>
  <si>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</si>
  <si>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</si>
  <si>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</si>
  <si>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</si>
  <si>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</si>
  <si>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</si>
  <si>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</si>
  <si>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</si>
  <si>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</si>
  <si>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</si>
  <si>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</si>
  <si>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</si>
  <si>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</si>
  <si>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</si>
  <si>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</si>
  <si>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</si>
  <si>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</si>
  <si>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</si>
  <si>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</si>
  <si>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</si>
  <si>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</si>
  <si>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</si>
  <si>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</si>
  <si>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</si>
  <si>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</si>
  <si>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</si>
  <si>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</si>
  <si>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</si>
  <si>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</si>
  <si>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</si>
  <si>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</si>
  <si>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</si>
  <si>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</si>
  <si>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</si>
  <si>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</si>
  <si>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</si>
  <si>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</si>
  <si>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</si>
  <si>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</si>
  <si>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</si>
  <si>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</si>
  <si>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</si>
  <si>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</si>
  <si>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</si>
  <si>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</si>
  <si>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</si>
  <si>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</si>
  <si>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</si>
  <si>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</si>
  <si>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</si>
  <si>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</si>
  <si>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</si>
  <si>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</si>
  <si>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</si>
  <si>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</si>
  <si>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</si>
  <si>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</si>
  <si>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</si>
  <si>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</si>
  <si>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</si>
  <si>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</si>
  <si>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</si>
  <si>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</si>
  <si>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</si>
  <si>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</si>
  <si>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</si>
  <si>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</si>
  <si>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</si>
  <si>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</si>
  <si>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</si>
  <si>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</si>
  <si>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</si>
  <si>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</si>
  <si>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</si>
  <si>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</si>
  <si>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</si>
  <si>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</si>
  <si>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</si>
  <si>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</si>
  <si>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</si>
  <si>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</si>
  <si>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</si>
  <si>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</si>
  <si>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</si>
  <si>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</si>
  <si>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</si>
  <si>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</si>
  <si>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</si>
  <si>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</si>
  <si>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</si>
  <si>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</si>
  <si>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</si>
  <si>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</si>
  <si>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</si>
  <si>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</si>
  <si>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</si>
  <si>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</si>
  <si>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</si>
  <si>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</si>
  <si>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</si>
  <si>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</si>
  <si>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</si>
  <si>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</si>
  <si>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</si>
  <si>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</si>
  <si>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</si>
  <si>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</si>
  <si>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</si>
  <si>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</si>
  <si>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</si>
  <si>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</si>
  <si>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</si>
  <si>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</si>
  <si>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</si>
  <si>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</si>
  <si>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</si>
  <si>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</si>
  <si>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</si>
  <si>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</si>
  <si>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</si>
  <si>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</si>
  <si>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</si>
  <si>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</si>
  <si>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</si>
  <si>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</si>
  <si>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</si>
  <si>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</si>
  <si>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</si>
  <si>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</si>
  <si>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</si>
  <si>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</si>
  <si>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</si>
  <si>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</si>
  <si>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</si>
  <si>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</si>
  <si>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</si>
  <si>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</si>
  <si>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</si>
  <si>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</si>
  <si>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</si>
  <si>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</si>
  <si>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</si>
  <si>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</si>
  <si>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</si>
  <si>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</si>
  <si>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</si>
  <si>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</si>
  <si>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</si>
  <si>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</si>
  <si>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</si>
  <si>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</si>
  <si>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</si>
  <si>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</si>
  <si>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</si>
  <si>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</si>
  <si>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</si>
  <si>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</si>
  <si>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</si>
  <si>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</si>
  <si>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</si>
  <si>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</si>
  <si>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</si>
  <si>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</si>
  <si>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</si>
  <si>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</si>
  <si>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</si>
  <si>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</si>
  <si>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</si>
  <si>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</si>
  <si>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</si>
  <si>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</si>
  <si>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</si>
  <si>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</si>
  <si>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</si>
  <si>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</si>
  <si>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</si>
  <si>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</si>
  <si>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</si>
  <si>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</si>
  <si>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</si>
  <si>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</si>
  <si>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</si>
  <si>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</si>
  <si>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</si>
  <si>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</si>
  <si>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</si>
  <si>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</si>
  <si>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</si>
  <si>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</si>
  <si>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</si>
  <si>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</si>
  <si>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</si>
  <si>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</si>
  <si>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</si>
  <si>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</si>
  <si>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</si>
  <si>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</si>
  <si>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</si>
  <si>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</si>
  <si>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</si>
  <si>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</si>
  <si>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</si>
  <si>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</si>
  <si>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</si>
  <si>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</si>
  <si>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</si>
  <si>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</si>
  <si>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</si>
  <si>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</si>
  <si>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</si>
  <si>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</si>
  <si>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</si>
  <si>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</si>
  <si>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</si>
  <si>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</si>
  <si>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</si>
  <si>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</si>
  <si>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</si>
  <si>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</si>
  <si>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</si>
  <si>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</si>
  <si>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</si>
  <si>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</si>
  <si>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</si>
  <si>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</si>
  <si>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</si>
  <si>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</si>
  <si>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</si>
  <si>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</si>
  <si>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</si>
  <si>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</si>
  <si>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</si>
  <si>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</si>
  <si>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</si>
  <si>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</si>
  <si>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</si>
  <si>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</si>
  <si>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</si>
  <si>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</si>
  <si>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</si>
  <si>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</si>
  <si>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</si>
  <si>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</si>
  <si>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</si>
  <si>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</si>
  <si>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</si>
  <si>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</si>
  <si>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</si>
  <si>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</si>
  <si>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</si>
  <si>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</si>
  <si>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</si>
  <si>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</si>
  <si>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</si>
  <si>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</si>
  <si>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</si>
  <si>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</si>
  <si>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</si>
  <si>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</si>
  <si>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</si>
  <si>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</si>
  <si>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</si>
  <si>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</si>
  <si>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</si>
  <si>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</si>
  <si>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</si>
  <si>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</si>
  <si>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</si>
  <si>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</si>
  <si>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</si>
  <si>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</si>
  <si>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</si>
  <si>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</si>
  <si>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</si>
  <si>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</si>
  <si>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</si>
  <si>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</si>
  <si>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</si>
  <si>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</si>
  <si>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</si>
  <si>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</si>
  <si>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</si>
  <si>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</si>
  <si>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</si>
  <si>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</si>
  <si>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</si>
  <si>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</si>
  <si>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</si>
  <si>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</si>
  <si>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</si>
  <si>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</si>
  <si>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</si>
  <si>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</si>
  <si>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</si>
  <si>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</si>
  <si>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</si>
  <si>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</si>
  <si>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</si>
  <si>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</si>
  <si>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</si>
  <si>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</si>
  <si>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</si>
  <si>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</si>
  <si>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</si>
  <si>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</si>
  <si>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</si>
  <si>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</si>
  <si>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</si>
  <si>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</si>
  <si>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</si>
  <si>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</si>
  <si>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</si>
  <si>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</si>
  <si>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</si>
  <si>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</si>
  <si>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</si>
  <si>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</si>
  <si>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</si>
  <si>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</si>
  <si>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</si>
  <si>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</si>
  <si>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</si>
  <si>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</si>
  <si>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</si>
  <si>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</si>
  <si>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</si>
  <si>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</si>
  <si>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</si>
  <si>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</si>
  <si>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</si>
  <si>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</si>
  <si>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</si>
  <si>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</si>
  <si>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</si>
  <si>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</si>
  <si>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</si>
  <si>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</si>
  <si>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</si>
  <si>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</si>
  <si>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</si>
  <si>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</si>
  <si>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</si>
  <si>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</si>
  <si>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</si>
  <si>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</si>
  <si>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</si>
  <si>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</si>
  <si>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</si>
  <si>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</si>
  <si>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</si>
  <si>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</si>
  <si>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</si>
  <si>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</si>
  <si>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</si>
  <si>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</si>
  <si>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</si>
  <si>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</si>
  <si>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</si>
  <si>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</si>
  <si>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</si>
  <si>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</si>
  <si>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</si>
  <si>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</si>
  <si>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</si>
  <si>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</si>
  <si>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</si>
  <si>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</si>
  <si>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</si>
  <si>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</si>
  <si>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</si>
  <si>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</si>
  <si>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</si>
  <si>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</si>
  <si>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</si>
  <si>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</si>
  <si>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</si>
  <si>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</si>
  <si>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</si>
  <si>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</si>
  <si>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</si>
  <si>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</si>
  <si>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</si>
  <si>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</si>
  <si>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</si>
  <si>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</si>
  <si>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</si>
  <si>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</si>
  <si>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</si>
  <si>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</si>
  <si>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</si>
  <si>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</si>
  <si>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</si>
  <si>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</si>
  <si>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</si>
  <si>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</si>
  <si>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</si>
  <si>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</si>
  <si>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</si>
  <si>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</si>
  <si>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</si>
  <si>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</si>
  <si>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</si>
  <si>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</si>
  <si>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</si>
  <si>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</si>
  <si>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</si>
  <si>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</si>
  <si>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</si>
  <si>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</si>
  <si>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</si>
  <si>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</si>
  <si>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</si>
  <si>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</si>
  <si>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</si>
  <si>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</si>
  <si>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</si>
  <si>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</si>
  <si>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</si>
  <si>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</si>
  <si>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</si>
  <si>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</si>
  <si>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</si>
  <si>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</si>
  <si>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</si>
  <si>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</si>
  <si>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</si>
  <si>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</si>
  <si>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</si>
  <si>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</si>
  <si>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</si>
  <si>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</si>
  <si>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</si>
  <si>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</si>
  <si>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</si>
  <si>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</si>
  <si>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</si>
  <si>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</si>
  <si>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</si>
  <si>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</si>
  <si>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</si>
  <si>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</si>
  <si>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</si>
  <si>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</si>
  <si>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</si>
  <si>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</si>
  <si>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</si>
  <si>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</si>
  <si>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</si>
  <si>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</si>
  <si>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</si>
  <si>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</si>
  <si>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</si>
  <si>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</si>
  <si>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</si>
  <si>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</si>
  <si>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</si>
  <si>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</si>
  <si>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</si>
  <si>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</si>
  <si>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</si>
  <si>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</si>
  <si>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</si>
  <si>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</si>
  <si>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</si>
  <si>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</si>
  <si>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</si>
  <si>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</si>
  <si>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</si>
  <si>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</si>
  <si>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</si>
  <si>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</si>
  <si>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</si>
  <si>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</si>
  <si>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</si>
  <si>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</si>
  <si>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</si>
  <si>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</si>
  <si>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</si>
  <si>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</si>
  <si>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</si>
  <si>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</si>
  <si>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</si>
  <si>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</si>
  <si>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</si>
  <si>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</si>
  <si>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</si>
  <si>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</si>
  <si>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</si>
  <si>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</si>
  <si>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</si>
  <si>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</si>
  <si>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</si>
  <si>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</si>
  <si>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</si>
  <si>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</si>
  <si>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</si>
  <si>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</si>
  <si>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</si>
  <si>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</si>
  <si>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</si>
  <si>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</si>
  <si>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</si>
  <si>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</si>
  <si>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</si>
  <si>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</si>
  <si>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</si>
  <si>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</si>
  <si>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</si>
  <si>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</si>
  <si>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</si>
  <si>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</si>
  <si>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</si>
  <si>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</si>
  <si>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</si>
  <si>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</si>
  <si>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</si>
  <si>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</si>
  <si>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</si>
  <si>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</si>
  <si>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</si>
  <si>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</si>
  <si>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</si>
  <si>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</si>
  <si>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</si>
  <si>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</si>
  <si>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</si>
  <si>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</si>
  <si>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</si>
  <si>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</si>
  <si>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</si>
  <si>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</si>
  <si>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</si>
  <si>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</si>
  <si>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</si>
  <si>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</si>
  <si>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</si>
  <si>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</si>
  <si>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</si>
  <si>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</si>
  <si>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</si>
  <si>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</si>
  <si>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</si>
  <si>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</si>
  <si>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</si>
  <si>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</si>
  <si>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</si>
  <si>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</si>
  <si>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</si>
  <si>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</si>
  <si>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</si>
  <si>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</si>
  <si>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</si>
  <si>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</si>
  <si>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</si>
  <si>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</si>
  <si>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</si>
  <si>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</si>
  <si>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</si>
  <si>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</si>
  <si>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</si>
  <si>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</si>
  <si>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</si>
  <si>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</si>
  <si>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</si>
  <si>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</si>
  <si>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</si>
  <si>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</si>
  <si>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</si>
  <si>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</si>
  <si>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</si>
  <si>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</si>
  <si>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</si>
  <si>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</si>
  <si>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</si>
  <si>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</si>
  <si>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</si>
  <si>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</si>
  <si>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</si>
  <si>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</si>
  <si>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</si>
  <si>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</si>
  <si>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</si>
  <si>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</si>
  <si>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</si>
  <si>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</si>
  <si>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</si>
  <si>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</si>
  <si>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</si>
  <si>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</si>
  <si>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</si>
  <si>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</si>
  <si>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</si>
  <si>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</si>
  <si>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</si>
  <si>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</si>
  <si>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</si>
  <si>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</si>
  <si>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</si>
  <si>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</si>
  <si>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</si>
  <si>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</si>
  <si>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</si>
  <si>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</si>
  <si>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</si>
  <si>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</si>
  <si>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</si>
  <si>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</si>
  <si>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</si>
  <si>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</si>
  <si>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</si>
  <si>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</si>
  <si>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</si>
  <si>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</si>
  <si>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</si>
  <si>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</si>
  <si>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</si>
  <si>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</si>
  <si>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</si>
  <si>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</si>
  <si>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</si>
  <si>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</si>
  <si>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</si>
  <si>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</si>
  <si>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</si>
  <si>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</si>
  <si>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</si>
  <si>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</si>
  <si>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</si>
  <si>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</si>
  <si>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</si>
  <si>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</si>
  <si>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</si>
  <si>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</si>
  <si>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</si>
  <si>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</si>
  <si>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</si>
  <si>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</si>
  <si>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</si>
  <si>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</si>
  <si>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</si>
  <si>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</si>
  <si>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</si>
  <si>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</si>
  <si>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</si>
  <si>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</si>
  <si>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</si>
  <si>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</si>
  <si>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</si>
  <si>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</si>
  <si>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</si>
  <si>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</si>
  <si>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</si>
  <si>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</si>
  <si>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</si>
  <si>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</si>
  <si>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</si>
  <si>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</si>
  <si>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</si>
  <si>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</si>
  <si>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</si>
  <si>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</si>
  <si>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</si>
  <si>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</si>
  <si>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</si>
  <si>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</si>
  <si>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</si>
  <si>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</si>
  <si>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</si>
  <si>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</si>
  <si>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</si>
  <si>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</si>
  <si>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</si>
  <si>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</si>
  <si>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</si>
  <si>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</si>
  <si>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</si>
  <si>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</si>
  <si>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</si>
  <si>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</si>
  <si>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</si>
  <si>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</si>
  <si>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</si>
  <si>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</si>
  <si>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</si>
  <si>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</si>
  <si>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</si>
  <si>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</si>
  <si>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</si>
  <si>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</si>
  <si>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</si>
  <si>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</si>
  <si>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</si>
  <si>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</si>
  <si>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</si>
  <si>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</si>
  <si>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</si>
  <si>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</si>
  <si>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</si>
  <si>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</si>
  <si>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</si>
  <si>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</si>
  <si>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</si>
  <si>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</si>
  <si>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</si>
  <si>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</si>
  <si>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</si>
  <si>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</si>
  <si>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</si>
  <si>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</si>
  <si>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</si>
  <si>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</si>
  <si>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</si>
  <si>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</si>
  <si>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</si>
  <si>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</si>
  <si>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</si>
  <si>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</si>
  <si>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</si>
  <si>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</si>
  <si>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</si>
  <si>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</si>
  <si>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</si>
  <si>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</si>
  <si>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</si>
  <si>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</si>
  <si>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</si>
  <si>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</si>
  <si>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</si>
  <si>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</si>
  <si>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</si>
  <si>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</si>
  <si>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</si>
  <si>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</si>
  <si>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</si>
  <si>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</si>
  <si>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</si>
  <si>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</si>
  <si>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</si>
  <si>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</si>
  <si>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</si>
  <si>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</si>
  <si>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</si>
  <si>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</si>
  <si>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</si>
  <si>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</si>
  <si>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</si>
  <si>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</si>
  <si>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</si>
  <si>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</si>
  <si>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</si>
  <si>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</si>
  <si>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</si>
  <si>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</si>
  <si>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</si>
  <si>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</si>
  <si>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</si>
  <si>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</si>
  <si>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</si>
  <si>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</si>
  <si>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</si>
  <si>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</si>
  <si>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</si>
  <si>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</si>
  <si>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</si>
  <si>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</si>
  <si>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</si>
  <si>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</si>
  <si>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</si>
  <si>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</si>
  <si>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</si>
  <si>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</si>
  <si>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</si>
  <si>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</si>
  <si>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</si>
  <si>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</si>
  <si>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</si>
  <si>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</si>
  <si>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</si>
  <si>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</si>
  <si>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</si>
  <si>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</si>
  <si>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</si>
  <si>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</si>
  <si>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</si>
  <si>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</si>
  <si>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</si>
  <si>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</si>
  <si>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</si>
  <si>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</si>
  <si>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</si>
  <si>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</si>
  <si>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</si>
  <si>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</si>
  <si>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</si>
  <si>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</si>
  <si>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</si>
  <si>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</si>
  <si>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</si>
  <si>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</si>
  <si>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</si>
  <si>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</si>
  <si>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</si>
  <si>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</si>
  <si>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</si>
  <si>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</si>
  <si>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</si>
  <si>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</si>
  <si>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</si>
  <si>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</si>
  <si>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</si>
  <si>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</si>
  <si>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</si>
  <si>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</si>
  <si>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</si>
  <si>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</si>
  <si>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</si>
  <si>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</si>
  <si>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</si>
  <si>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</si>
  <si>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</si>
  <si>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</si>
  <si>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</si>
  <si>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</si>
  <si>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</si>
  <si>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</si>
  <si>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</si>
  <si>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</si>
  <si>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</si>
  <si>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</si>
  <si>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</si>
  <si>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</si>
  <si>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</si>
  <si>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</si>
  <si>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</si>
  <si>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</si>
  <si>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</si>
  <si>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</si>
  <si>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</si>
  <si>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</si>
  <si>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</si>
  <si>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</si>
  <si>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</si>
  <si>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</si>
  <si>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</si>
  <si>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</si>
  <si>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</si>
  <si>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</si>
  <si>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</si>
  <si>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</si>
  <si>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</si>
  <si>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</si>
  <si>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</si>
  <si>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</si>
  <si>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</si>
  <si>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</si>
  <si>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</si>
  <si>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</si>
  <si>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</si>
  <si>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</si>
  <si>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</si>
  <si>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</si>
  <si>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</si>
  <si>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</si>
  <si>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</si>
  <si>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</si>
  <si>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</si>
  <si>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</si>
  <si>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</si>
  <si>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</si>
  <si>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</si>
  <si>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</si>
  <si>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</si>
  <si>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</si>
  <si>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</si>
  <si>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</si>
  <si>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</si>
  <si>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</si>
  <si>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</si>
  <si>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</si>
  <si>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</si>
  <si>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</si>
  <si>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</si>
  <si>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</si>
  <si>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</si>
  <si>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</si>
  <si>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</si>
  <si>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</si>
  <si>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</si>
  <si>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</si>
  <si>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</si>
  <si>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</si>
  <si>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</si>
  <si>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</si>
  <si>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</si>
  <si>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</si>
  <si>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</si>
  <si>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</si>
  <si>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</si>
  <si>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</si>
  <si>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</si>
  <si>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</si>
  <si>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</si>
  <si>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</si>
  <si>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</si>
  <si>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</si>
  <si>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</si>
  <si>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</si>
  <si>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</si>
  <si>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</si>
  <si>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</si>
  <si>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</si>
  <si>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</si>
  <si>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</si>
  <si>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</si>
  <si>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</si>
  <si>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</si>
  <si>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</si>
  <si>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</si>
  <si>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</si>
  <si>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</si>
  <si>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</si>
  <si>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</si>
  <si>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</si>
  <si>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</si>
  <si>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</si>
  <si>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</si>
  <si>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</si>
  <si>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</si>
  <si>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</si>
  <si>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</si>
  <si>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</si>
  <si>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</si>
  <si>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</si>
  <si>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</si>
  <si>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</si>
  <si>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</si>
  <si>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</si>
  <si>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</si>
  <si>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</si>
  <si>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</si>
  <si>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</si>
  <si>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</si>
  <si>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</si>
  <si>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</si>
  <si>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</si>
  <si>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</si>
  <si>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</si>
  <si>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</si>
  <si>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</si>
  <si>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</si>
  <si>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</si>
  <si>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</si>
  <si>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</si>
  <si>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</si>
  <si>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</si>
  <si>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</si>
  <si>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</si>
  <si>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</si>
  <si>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</si>
  <si>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</si>
  <si>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</si>
  <si>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</si>
  <si>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</si>
  <si>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</si>
  <si>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</si>
  <si>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</si>
  <si>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</si>
  <si>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</si>
  <si>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</si>
  <si>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</si>
  <si>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</si>
  <si>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</si>
  <si>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</si>
  <si>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</si>
  <si>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</si>
  <si>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</si>
  <si>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</si>
  <si>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</si>
  <si>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</si>
  <si>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</si>
  <si>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</si>
  <si>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</si>
  <si>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</si>
  <si>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</si>
  <si>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</si>
  <si>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</si>
  <si>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</si>
  <si>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</si>
  <si>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</si>
  <si>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</si>
  <si>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</si>
  <si>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</si>
  <si>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</si>
  <si>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</si>
  <si>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</si>
  <si>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</si>
  <si>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</si>
  <si>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</si>
  <si>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</si>
  <si>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</si>
  <si>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</si>
  <si>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</si>
  <si>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</si>
  <si>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</si>
  <si>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</si>
  <si>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</si>
  <si>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</si>
  <si>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</si>
  <si>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</si>
  <si>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</si>
  <si>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</si>
  <si>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</si>
  <si>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</si>
  <si>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</si>
  <si>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</si>
  <si>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</si>
  <si>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</si>
  <si>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</si>
  <si>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</si>
  <si>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</si>
  <si>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</si>
  <si>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</si>
  <si>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</si>
  <si>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</si>
  <si>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</si>
  <si>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</si>
  <si>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</si>
  <si>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</si>
  <si>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</si>
  <si>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</si>
  <si>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</si>
  <si>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</si>
  <si>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</si>
  <si>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</si>
  <si>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</si>
  <si>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</si>
  <si>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</si>
  <si>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</si>
  <si>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</si>
  <si>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</si>
  <si>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</si>
  <si>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</si>
  <si>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</si>
  <si>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</si>
  <si>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</si>
  <si>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</si>
  <si>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</si>
  <si>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</si>
  <si>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</si>
  <si>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</si>
  <si>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</si>
  <si>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</si>
  <si>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</si>
  <si>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</si>
  <si>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</si>
  <si>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</si>
  <si>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</si>
  <si>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</si>
  <si>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</si>
  <si>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</si>
  <si>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</si>
  <si>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</si>
  <si>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</si>
  <si>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</si>
  <si>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</si>
  <si>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</si>
  <si>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</si>
  <si>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</si>
  <si>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</si>
  <si>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</si>
  <si>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</si>
  <si>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</si>
  <si>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</si>
  <si>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</si>
  <si>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</si>
  <si>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</si>
  <si>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</si>
  <si>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</si>
  <si>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</si>
  <si>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</si>
  <si>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</si>
  <si>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</si>
  <si>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</si>
  <si>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</si>
  <si>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</si>
  <si>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</si>
  <si>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</si>
  <si>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</si>
  <si>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</si>
  <si>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</si>
  <si>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</si>
  <si>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</si>
  <si>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</si>
  <si>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</si>
  <si>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</si>
  <si>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</si>
  <si>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</si>
  <si>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</si>
  <si>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</si>
  <si>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</si>
  <si>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</si>
  <si>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</si>
  <si>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</si>
  <si>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</si>
  <si>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</si>
  <si>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</si>
  <si>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</si>
  <si>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</si>
  <si>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</si>
  <si>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</si>
  <si>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</si>
  <si>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</si>
  <si>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</si>
  <si>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</si>
  <si>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</si>
  <si>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</si>
  <si>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</si>
  <si>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</si>
  <si>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</si>
  <si>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</si>
  <si>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</si>
  <si>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</si>
  <si>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</si>
  <si>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</si>
  <si>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</si>
  <si>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</si>
  <si>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</si>
  <si>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</si>
  <si>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</si>
  <si>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</si>
  <si>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</si>
  <si>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</si>
  <si>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</si>
  <si>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</si>
  <si>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</si>
  <si>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</si>
  <si>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</si>
  <si>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</si>
  <si>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</si>
  <si>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</si>
  <si>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</si>
  <si>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</si>
  <si>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</si>
  <si>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</si>
  <si>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</si>
  <si>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</si>
  <si>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</si>
  <si>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</si>
  <si>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</si>
  <si>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</si>
  <si>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</si>
  <si>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</si>
  <si>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</si>
  <si>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</si>
  <si>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</si>
  <si>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</si>
  <si>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</si>
  <si>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</si>
  <si>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</si>
  <si>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</si>
  <si>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</si>
  <si>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</si>
  <si>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</si>
  <si>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</si>
  <si>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</si>
  <si>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</si>
  <si>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</si>
  <si>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</si>
  <si>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</si>
  <si>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</si>
  <si>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</si>
  <si>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</si>
  <si>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</si>
  <si>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</si>
  <si>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</si>
  <si>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</si>
  <si>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</si>
  <si>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</si>
  <si>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</si>
  <si>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</si>
  <si>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</si>
  <si>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</si>
  <si>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</si>
  <si>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</si>
  <si>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</si>
  <si>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</si>
  <si>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</si>
  <si>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</si>
  <si>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</si>
  <si>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</si>
  <si>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</si>
  <si>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</si>
  <si>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</si>
  <si>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</si>
  <si>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</si>
  <si>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</si>
  <si>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</si>
  <si>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</si>
  <si>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</si>
  <si>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</si>
  <si>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</si>
  <si>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</si>
  <si>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</si>
  <si>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</si>
  <si>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</si>
  <si>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</si>
  <si>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</si>
  <si>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</si>
  <si>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</si>
  <si>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</si>
  <si>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</si>
  <si>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</si>
  <si>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</si>
  <si>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</si>
  <si>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</si>
  <si>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</si>
  <si>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</si>
  <si>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</si>
  <si>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</si>
  <si>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</si>
  <si>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</si>
  <si>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</si>
  <si>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</si>
  <si>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</si>
  <si>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</si>
  <si>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</si>
  <si>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</si>
  <si>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</si>
  <si>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</si>
  <si>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</si>
  <si>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</si>
  <si>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</si>
  <si>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</si>
  <si>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</si>
  <si>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</si>
  <si>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</si>
  <si>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</si>
  <si>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</si>
  <si>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</si>
  <si>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</si>
  <si>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</si>
  <si>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</si>
  <si>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</si>
  <si>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</si>
  <si>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</si>
  <si>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</si>
  <si>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</si>
  <si>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</si>
  <si>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</si>
  <si>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</si>
  <si>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</si>
  <si>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</si>
  <si>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</si>
  <si>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</si>
  <si>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</si>
  <si>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</si>
  <si>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</si>
  <si>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</si>
  <si>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</si>
  <si>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</si>
  <si>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</si>
  <si>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</si>
  <si>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</si>
  <si>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</si>
  <si>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</si>
  <si>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</si>
  <si>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</si>
  <si>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</si>
  <si>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</si>
  <si>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</si>
  <si>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</si>
  <si>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</si>
  <si>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</si>
  <si>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</si>
  <si>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</si>
  <si>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</si>
  <si>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</si>
  <si>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</si>
  <si>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</si>
  <si>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</si>
  <si>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</si>
  <si>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</si>
  <si>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</si>
  <si>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</si>
  <si>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</si>
  <si>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</si>
  <si>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</si>
  <si>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</si>
  <si>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</si>
  <si>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</si>
  <si>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</si>
  <si>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</si>
  <si>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</si>
  <si>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</si>
  <si>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</si>
  <si>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</si>
  <si>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</si>
  <si>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</si>
  <si>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</si>
  <si>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</si>
  <si>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</si>
  <si>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</si>
  <si>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</si>
  <si>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</si>
  <si>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</si>
  <si>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</si>
  <si>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</si>
  <si>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</si>
  <si>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</si>
  <si>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</si>
  <si>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</si>
  <si>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</si>
  <si>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</si>
  <si>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</si>
  <si>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</si>
  <si>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</si>
  <si>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</si>
  <si>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</si>
  <si>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</si>
  <si>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</si>
  <si>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</si>
  <si>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</si>
  <si>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</si>
  <si>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</si>
  <si>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</si>
  <si>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</si>
  <si>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</si>
  <si>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</si>
  <si>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</si>
  <si>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</si>
  <si>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</si>
  <si>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</si>
  <si>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</si>
  <si>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</si>
  <si>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</si>
  <si>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</si>
  <si>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</si>
  <si>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</si>
  <si>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</si>
  <si>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</si>
  <si>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</si>
  <si>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</si>
  <si>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</si>
  <si>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</si>
  <si>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</si>
  <si>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</si>
  <si>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</si>
  <si>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</si>
  <si>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</si>
  <si>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</si>
  <si>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</si>
  <si>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</si>
  <si>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</si>
  <si>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</si>
  <si>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</si>
  <si>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</si>
  <si>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</si>
  <si>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</si>
  <si>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</si>
  <si>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</si>
  <si>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</si>
  <si>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</si>
  <si>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</si>
  <si>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</si>
  <si>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</si>
  <si>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</si>
  <si>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</si>
  <si>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</si>
  <si>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</si>
  <si>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</si>
  <si>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</si>
  <si>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</si>
  <si>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</si>
  <si>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</si>
  <si>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</si>
  <si>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</si>
  <si>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</si>
  <si>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</si>
  <si>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</si>
  <si>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</si>
  <si>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</si>
  <si>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</si>
  <si>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</si>
  <si>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</si>
  <si>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</si>
  <si>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</si>
  <si>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</si>
  <si>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</si>
  <si>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</si>
  <si>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</si>
  <si>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</si>
  <si>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</si>
  <si>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</si>
  <si>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</si>
  <si>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</si>
  <si>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</si>
  <si>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</si>
  <si>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</si>
  <si>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</si>
  <si>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</si>
  <si>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</si>
  <si>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</si>
  <si>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</si>
  <si>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</si>
  <si>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</si>
  <si>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</si>
  <si>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</si>
  <si>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</si>
  <si>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</si>
  <si>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</si>
  <si>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</si>
  <si>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</si>
  <si>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</si>
  <si>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</si>
  <si>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</si>
  <si>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</si>
  <si>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</si>
  <si>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</si>
  <si>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</si>
  <si>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</si>
  <si>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</si>
  <si>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</si>
  <si>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</si>
  <si>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</si>
  <si>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</si>
  <si>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</si>
  <si>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</si>
  <si>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</si>
  <si>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</si>
  <si>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</si>
  <si>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</si>
  <si>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</si>
  <si>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</si>
  <si>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</si>
  <si>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</si>
  <si>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</si>
  <si>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</si>
  <si>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</si>
  <si>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</si>
  <si>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</si>
  <si>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</si>
  <si>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</si>
  <si>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</si>
  <si>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</si>
  <si>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</si>
  <si>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</si>
  <si>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</si>
  <si>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</si>
  <si>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</si>
  <si>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</si>
  <si>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</si>
  <si>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</si>
  <si>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</si>
  <si>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</si>
  <si>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</si>
  <si>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</si>
  <si>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</si>
  <si>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</si>
  <si>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</si>
  <si>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</si>
  <si>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</si>
  <si>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</si>
  <si>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</si>
  <si>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</si>
  <si>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</si>
  <si>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</si>
  <si>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</si>
  <si>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</si>
  <si>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</si>
  <si>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</si>
  <si>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</si>
  <si>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</si>
  <si>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</si>
  <si>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</si>
  <si>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</si>
  <si>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</si>
  <si>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</si>
  <si>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</si>
  <si>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</si>
  <si>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</si>
  <si>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</si>
  <si>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</si>
  <si>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</si>
  <si>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</si>
  <si>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</si>
  <si>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</si>
  <si>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</si>
  <si>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</si>
  <si>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</si>
  <si>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</si>
  <si>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</si>
  <si>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</si>
  <si>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</si>
  <si>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</si>
  <si>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</si>
  <si>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</si>
  <si>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</si>
  <si>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</si>
  <si>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</si>
  <si>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</si>
  <si>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</si>
  <si>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</si>
  <si>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</si>
  <si>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</si>
  <si>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</si>
  <si>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</si>
  <si>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</si>
  <si>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</si>
  <si>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</si>
  <si>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</si>
  <si>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</si>
  <si>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</si>
  <si>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</si>
  <si>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</si>
  <si>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</si>
  <si>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</si>
  <si>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</si>
  <si>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</si>
  <si>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</si>
  <si>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</si>
  <si>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</si>
  <si>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</si>
  <si>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</si>
  <si>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</si>
  <si>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</si>
  <si>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</si>
  <si>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</si>
  <si>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</si>
  <si>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</si>
  <si>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</si>
  <si>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</si>
  <si>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</si>
  <si>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</si>
  <si>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</si>
  <si>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</si>
  <si>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</si>
  <si>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</si>
  <si>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</si>
  <si>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</si>
  <si>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</si>
  <si>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</si>
  <si>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</si>
  <si>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</si>
  <si>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</si>
  <si>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</si>
  <si>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</si>
  <si>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</si>
  <si>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</si>
  <si>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</si>
  <si>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</si>
  <si>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</si>
  <si>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</si>
  <si>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</si>
  <si>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</si>
  <si>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</si>
  <si>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</si>
  <si>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</si>
  <si>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</si>
  <si>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</si>
  <si>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</si>
  <si>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</si>
  <si>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</si>
  <si>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</si>
  <si>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</si>
  <si>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</si>
  <si>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</si>
  <si>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</si>
  <si>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</si>
  <si>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</si>
  <si>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</si>
  <si>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</si>
  <si>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</si>
  <si>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</si>
  <si>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</si>
  <si>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</si>
  <si>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</si>
  <si>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</si>
  <si>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</si>
  <si>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</si>
  <si>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</si>
  <si>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</si>
  <si>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</si>
  <si>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</si>
  <si>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</si>
  <si>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</si>
  <si>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</si>
  <si>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</si>
  <si>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</si>
  <si>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</si>
  <si>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</si>
  <si>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</si>
  <si>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</si>
  <si>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</si>
  <si>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</si>
  <si>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</si>
  <si>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</si>
  <si>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</si>
  <si>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</si>
  <si>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</si>
  <si>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</si>
  <si>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</si>
  <si>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</si>
  <si>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</si>
  <si>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</si>
  <si>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</si>
  <si>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</si>
  <si>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</si>
  <si>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</si>
  <si>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</si>
  <si>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</si>
  <si>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</si>
  <si>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</si>
  <si>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</si>
  <si>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</si>
  <si>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</si>
  <si>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</si>
  <si>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</si>
  <si>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</si>
  <si>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</si>
  <si>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</si>
  <si>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</si>
  <si>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</si>
  <si>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</si>
  <si>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</si>
  <si>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</si>
  <si>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</si>
  <si>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</si>
  <si>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</si>
  <si>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</si>
  <si>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</si>
  <si>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</si>
  <si>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</si>
  <si>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</si>
  <si>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</si>
  <si>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</si>
  <si>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</si>
  <si>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</si>
  <si>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</si>
  <si>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</si>
  <si>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</si>
  <si>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</si>
  <si>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</si>
  <si>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</si>
  <si>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</si>
  <si>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</si>
  <si>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</si>
  <si>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</si>
  <si>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</si>
  <si>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</si>
  <si>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</si>
  <si>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</si>
  <si>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</si>
  <si>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</si>
  <si>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</si>
  <si>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</si>
  <si>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</si>
  <si>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</si>
  <si>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</si>
  <si>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</si>
  <si>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</si>
  <si>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</si>
  <si>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</si>
  <si>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</si>
  <si>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</si>
  <si>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</si>
  <si>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</si>
  <si>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</si>
  <si>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</si>
  <si>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</si>
  <si>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</si>
  <si>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</si>
  <si>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</si>
  <si>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</si>
  <si>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</si>
  <si>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</si>
  <si>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</si>
  <si>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</si>
  <si>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</si>
  <si>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</si>
  <si>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</si>
  <si>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</si>
  <si>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</si>
  <si>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</si>
  <si>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</si>
  <si>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</si>
  <si>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</si>
  <si>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</si>
  <si>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</si>
  <si>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</si>
  <si>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</si>
  <si>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</si>
  <si>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</si>
  <si>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</si>
  <si>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</si>
  <si>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</si>
  <si>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</si>
  <si>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</si>
  <si>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</si>
  <si>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</si>
  <si>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</si>
  <si>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</si>
  <si>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</si>
  <si>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</si>
  <si>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</si>
  <si>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</si>
  <si>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</si>
  <si>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</si>
  <si>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</si>
  <si>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</si>
  <si>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</si>
  <si>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</si>
  <si>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</si>
  <si>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</si>
  <si>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</si>
  <si>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</si>
  <si>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</si>
  <si>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</si>
  <si>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</si>
  <si>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</si>
  <si>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</si>
  <si>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</si>
  <si>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</si>
  <si>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</si>
  <si>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</si>
  <si>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</si>
  <si>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</si>
  <si>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</si>
  <si>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</si>
  <si>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</si>
  <si>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</si>
  <si>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</si>
  <si>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</si>
  <si>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</si>
  <si>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</si>
  <si>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</si>
  <si>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</si>
  <si>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</si>
  <si>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</si>
  <si>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</si>
  <si>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</si>
  <si>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</si>
  <si>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</si>
  <si>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</si>
  <si>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</si>
  <si>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</si>
  <si>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</si>
  <si>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</si>
  <si>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</si>
  <si>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</si>
  <si>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</si>
  <si>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</si>
  <si>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</si>
  <si>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</si>
  <si>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</si>
  <si>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</si>
  <si>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</si>
  <si>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</si>
  <si>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</si>
  <si>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</si>
  <si>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</si>
  <si>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</si>
  <si>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</si>
  <si>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</si>
  <si>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</si>
  <si>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</si>
  <si>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</si>
  <si>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</si>
  <si>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</si>
  <si>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</si>
  <si>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</si>
  <si>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</si>
  <si>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</si>
  <si>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</si>
  <si>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</si>
  <si>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</si>
  <si>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</si>
  <si>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</si>
  <si>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</si>
  <si>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</si>
  <si>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</si>
  <si>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</si>
  <si>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</si>
  <si>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</si>
  <si>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</si>
  <si>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</si>
  <si>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</si>
  <si>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</si>
  <si>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</si>
  <si>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</si>
  <si>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</si>
  <si>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</si>
  <si>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</si>
  <si>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</si>
  <si>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</si>
  <si>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</si>
  <si>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</si>
  <si>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</si>
  <si>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</si>
  <si>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</si>
  <si>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</si>
  <si>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</si>
  <si>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</si>
  <si>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</si>
  <si>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</si>
  <si>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</si>
  <si>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</si>
  <si>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</si>
  <si>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</si>
  <si>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</si>
  <si>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</si>
  <si>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</si>
  <si>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</si>
  <si>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</si>
  <si>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</si>
  <si>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</si>
  <si>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</si>
  <si>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</si>
  <si>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</si>
  <si>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</si>
  <si>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</si>
  <si>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</si>
  <si>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</si>
  <si>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</si>
  <si>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</si>
  <si>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</si>
  <si>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</si>
  <si>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</si>
  <si>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</si>
  <si>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</si>
  <si>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</si>
  <si>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</si>
  <si>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</si>
  <si>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</si>
  <si>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</si>
  <si>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</si>
  <si>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</si>
  <si>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</si>
  <si>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</si>
  <si>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</si>
  <si>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</si>
  <si>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</si>
  <si>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</si>
  <si>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</si>
  <si>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</si>
  <si>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</si>
  <si>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</si>
  <si>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</si>
  <si>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</si>
  <si>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</si>
  <si>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</si>
  <si>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</si>
  <si>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</si>
  <si>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</si>
  <si>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</si>
  <si>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</si>
  <si>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</si>
  <si>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</si>
  <si>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</si>
  <si>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</si>
  <si>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</si>
  <si>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</si>
  <si>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</si>
  <si>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</si>
  <si>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</si>
  <si>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</si>
  <si>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</si>
  <si>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</si>
  <si>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</si>
  <si>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</si>
  <si>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</si>
  <si>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</si>
  <si>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</si>
  <si>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</si>
  <si>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</si>
  <si>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</si>
  <si>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</si>
  <si>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</si>
  <si>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</si>
  <si>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</si>
  <si>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</si>
  <si>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</si>
  <si>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</si>
  <si>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</si>
  <si>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</si>
  <si>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</si>
  <si>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</si>
  <si>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</si>
  <si>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</si>
  <si>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</si>
  <si>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</si>
  <si>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</si>
  <si>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</si>
  <si>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</si>
  <si>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</si>
  <si>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</si>
  <si>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</si>
  <si>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</si>
  <si>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</si>
  <si>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</si>
  <si>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</si>
  <si>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</si>
  <si>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</si>
  <si>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</si>
  <si>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</si>
  <si>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</si>
  <si>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</si>
  <si>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</si>
  <si>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</si>
  <si>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</si>
  <si>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</si>
  <si>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</si>
  <si>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</si>
  <si>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</si>
  <si>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</si>
  <si>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</si>
  <si>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</si>
  <si>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</si>
  <si>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</si>
  <si>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</si>
  <si>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</si>
  <si>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</si>
  <si>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</si>
  <si>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</si>
  <si>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</si>
  <si>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</si>
  <si>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</si>
  <si>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</si>
  <si>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</si>
  <si>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</si>
  <si>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</si>
  <si>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</si>
  <si>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</si>
  <si>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</si>
  <si>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</si>
  <si>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</si>
  <si>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</si>
  <si>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</si>
  <si>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</si>
  <si>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</si>
  <si>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</si>
  <si>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</si>
  <si>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</si>
  <si>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</si>
  <si>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</si>
  <si>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</si>
  <si>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</si>
  <si>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</si>
  <si>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</si>
  <si>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</si>
  <si>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</si>
  <si>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</si>
  <si>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</si>
  <si>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</si>
  <si>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</si>
  <si>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</si>
  <si>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</si>
  <si>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</si>
  <si>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</si>
  <si>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</si>
  <si>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</si>
  <si>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</si>
  <si>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</si>
  <si>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</si>
  <si>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</si>
  <si>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</si>
  <si>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</si>
  <si>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</si>
  <si>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</si>
  <si>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</si>
  <si>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</si>
  <si>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</si>
  <si>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</si>
  <si>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</si>
  <si>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</si>
  <si>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</si>
  <si>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</si>
  <si>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</si>
  <si>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</si>
  <si>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</si>
  <si>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</si>
  <si>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</si>
  <si>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</si>
  <si>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</si>
  <si>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</si>
  <si>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</si>
  <si>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</si>
  <si>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</si>
  <si>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</si>
  <si>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</si>
  <si>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</si>
  <si>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</si>
  <si>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</si>
  <si>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</si>
  <si>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</si>
  <si>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</si>
  <si>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</si>
  <si>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</si>
  <si>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</si>
  <si>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</si>
  <si>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</si>
  <si>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</si>
  <si>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</si>
  <si>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</si>
  <si>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</si>
  <si>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</si>
  <si>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</si>
  <si>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</si>
  <si>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</si>
  <si>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</si>
  <si>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</si>
  <si>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</si>
  <si>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</si>
  <si>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</si>
  <si>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</si>
  <si>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</si>
  <si>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</si>
  <si>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</si>
  <si>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</si>
  <si>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</si>
  <si>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</si>
  <si>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</si>
  <si>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</si>
  <si>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</si>
  <si>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</si>
  <si>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</si>
  <si>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</si>
  <si>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</si>
  <si>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</si>
  <si>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</si>
  <si>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</si>
  <si>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</si>
  <si>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</si>
  <si>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</si>
  <si>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</si>
  <si>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</si>
  <si>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</si>
  <si>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</si>
  <si>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</si>
  <si>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</si>
  <si>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</si>
  <si>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</si>
  <si>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</si>
  <si>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</si>
  <si>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</si>
  <si>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</si>
  <si>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</si>
  <si>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</si>
  <si>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</si>
  <si>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</si>
  <si>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</si>
  <si>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</si>
  <si>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</si>
  <si>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</si>
  <si>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</si>
  <si>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</si>
  <si>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</si>
  <si>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</si>
  <si>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</si>
  <si>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</si>
  <si>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</si>
  <si>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</si>
  <si>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</si>
  <si>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</si>
  <si>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</si>
  <si>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</si>
  <si>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</si>
  <si>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</si>
  <si>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</si>
  <si>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</si>
  <si>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</si>
  <si>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</si>
  <si>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</si>
  <si>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</si>
  <si>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</si>
  <si>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</si>
  <si>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</si>
  <si>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</si>
  <si>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</si>
  <si>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</si>
  <si>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</si>
  <si>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</si>
  <si>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</si>
  <si>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</si>
  <si>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</si>
  <si>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</si>
  <si>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</si>
  <si>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</si>
  <si>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</si>
  <si>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</si>
  <si>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</si>
  <si>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</si>
  <si>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</si>
  <si>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</si>
  <si>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</si>
  <si>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</si>
  <si>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</si>
  <si>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</si>
  <si>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</si>
  <si>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</si>
  <si>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</si>
  <si>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</si>
  <si>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</si>
  <si>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</si>
  <si>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</si>
  <si>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</si>
  <si>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</si>
  <si>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</si>
  <si>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</si>
  <si>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</si>
  <si>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</si>
  <si>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</si>
  <si>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</si>
  <si>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</si>
  <si>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</si>
  <si>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</si>
  <si>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</si>
  <si>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</si>
  <si>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</si>
  <si>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</si>
  <si>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</si>
  <si>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</si>
  <si>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</si>
  <si>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</si>
  <si>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</si>
  <si>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</si>
  <si>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</si>
  <si>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</si>
  <si>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</si>
  <si>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</si>
  <si>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</si>
  <si>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</si>
  <si>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</si>
  <si>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</si>
  <si>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</si>
  <si>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</si>
  <si>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</si>
  <si>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</si>
  <si>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</si>
  <si>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</si>
  <si>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</si>
  <si>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</si>
  <si>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</si>
  <si>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</si>
  <si>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</si>
  <si>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</si>
  <si>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</si>
  <si>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</si>
  <si>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</si>
  <si>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</si>
  <si>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</si>
  <si>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</si>
  <si>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</si>
  <si>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</si>
  <si>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</si>
  <si>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</si>
  <si>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</si>
  <si>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</si>
  <si>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</si>
  <si>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</si>
  <si>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</si>
  <si>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</si>
  <si>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</si>
  <si>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</si>
  <si>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</si>
  <si>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</si>
  <si>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</si>
  <si>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</si>
  <si>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</si>
  <si>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</si>
  <si>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</si>
  <si>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</si>
  <si>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</si>
  <si>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</si>
  <si>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</si>
  <si>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</si>
  <si>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</si>
  <si>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</si>
  <si>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</si>
  <si>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</si>
  <si>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</si>
  <si>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</si>
  <si>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</si>
  <si>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</si>
  <si>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</si>
  <si>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</si>
  <si>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</si>
  <si>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</si>
  <si>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</si>
  <si>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</si>
  <si>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</si>
  <si>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</si>
  <si>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</si>
  <si>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</si>
  <si>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</si>
  <si>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</si>
  <si>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</si>
  <si>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</si>
  <si>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</si>
  <si>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</si>
  <si>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</si>
  <si>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</si>
  <si>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</si>
  <si>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</si>
  <si>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</si>
  <si>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</si>
  <si>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</si>
  <si>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</si>
  <si>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</si>
  <si>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</si>
  <si>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</si>
  <si>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</si>
  <si>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</si>
  <si>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</si>
  <si>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</si>
  <si>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</si>
  <si>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</si>
  <si>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</si>
  <si>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</si>
  <si>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</si>
  <si>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</si>
  <si>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</si>
  <si>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</si>
  <si>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</si>
  <si>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</si>
  <si>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</si>
  <si>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</si>
  <si>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</si>
  <si>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</si>
  <si>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</si>
  <si>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</si>
  <si>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</si>
  <si>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</si>
  <si>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</si>
  <si>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</si>
  <si>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</si>
  <si>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</si>
  <si>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</si>
  <si>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</si>
  <si>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</si>
  <si>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</si>
  <si>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</si>
  <si>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</si>
  <si>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</si>
  <si>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</si>
  <si>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</si>
  <si>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</si>
  <si>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</si>
  <si>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</si>
  <si>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</si>
  <si>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</si>
  <si>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</si>
  <si>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</si>
  <si>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</si>
  <si>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</si>
  <si>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</si>
  <si>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</si>
  <si>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</si>
  <si>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</si>
  <si>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</si>
  <si>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</si>
  <si>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</si>
  <si>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</si>
  <si>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</si>
  <si>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</si>
  <si>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</si>
  <si>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</si>
  <si>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</si>
  <si>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</si>
  <si>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</si>
  <si>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</si>
  <si>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</si>
  <si>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</si>
  <si>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</si>
  <si>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</si>
  <si>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</si>
  <si>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</si>
  <si>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</si>
  <si>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</si>
  <si>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</si>
  <si>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</si>
  <si>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</si>
  <si>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</si>
  <si>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</si>
  <si>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</si>
  <si>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</si>
  <si>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</si>
  <si>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</si>
  <si>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</si>
  <si>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</si>
  <si>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</si>
  <si>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</si>
  <si>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</si>
  <si>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</si>
  <si>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</si>
  <si>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</si>
  <si>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</si>
  <si>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</si>
  <si>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</si>
  <si>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</si>
  <si>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</si>
  <si>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</si>
  <si>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</si>
  <si>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</si>
  <si>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</si>
  <si>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</si>
  <si>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</si>
  <si>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</si>
  <si>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</si>
  <si>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</si>
  <si>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</si>
  <si>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</si>
  <si>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</si>
  <si>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</si>
  <si>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</si>
  <si>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</si>
  <si>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</si>
  <si>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</si>
  <si>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</si>
  <si>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</si>
  <si>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</si>
  <si>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</si>
  <si>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</si>
  <si>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</si>
  <si>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</si>
  <si>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</si>
  <si>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</si>
  <si>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</si>
  <si>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</si>
  <si>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</si>
  <si>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</si>
  <si>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</si>
  <si>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</si>
  <si>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</si>
  <si>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</si>
  <si>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</si>
  <si>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</si>
  <si>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</si>
  <si>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</si>
  <si>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</si>
  <si>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</si>
  <si>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</si>
  <si>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</si>
  <si>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</si>
  <si>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</si>
  <si>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</si>
  <si>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</si>
  <si>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</si>
  <si>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</si>
  <si>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</si>
  <si>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</si>
  <si>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</si>
  <si>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</si>
  <si>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</si>
  <si>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</si>
  <si>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</si>
  <si>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</si>
  <si>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</si>
  <si>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</si>
  <si>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</si>
  <si>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</si>
  <si>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</si>
  <si>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</si>
  <si>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</si>
  <si>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</si>
  <si>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</si>
  <si>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</si>
  <si>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</si>
  <si>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</si>
  <si>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</si>
  <si>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</si>
  <si>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</si>
  <si>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</si>
  <si>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</si>
  <si>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</si>
  <si>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</si>
  <si>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</si>
  <si>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</si>
  <si>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</si>
  <si>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</si>
  <si>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</si>
  <si>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</si>
  <si>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</si>
  <si>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</si>
  <si>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</si>
  <si>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</si>
  <si>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</si>
  <si>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</si>
  <si>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</si>
  <si>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</si>
  <si>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</si>
  <si>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</si>
  <si>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</si>
  <si>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</si>
  <si>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</si>
  <si>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</si>
  <si>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</si>
  <si>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</si>
  <si>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</si>
  <si>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</si>
  <si>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</si>
  <si>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</si>
  <si>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</si>
  <si>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</si>
  <si>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</si>
  <si>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</si>
  <si>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</si>
  <si>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</si>
  <si>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</si>
  <si>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</si>
  <si>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</si>
  <si>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</si>
  <si>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</si>
  <si>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</si>
  <si>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</si>
  <si>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</si>
  <si>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</si>
  <si>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</si>
  <si>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</si>
  <si>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</si>
  <si>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</si>
  <si>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</si>
  <si>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</si>
  <si>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</si>
  <si>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</si>
  <si>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</si>
  <si>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</si>
  <si>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</si>
  <si>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</si>
  <si>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</si>
  <si>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</si>
  <si>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</si>
  <si>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</si>
  <si>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</si>
  <si>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</si>
  <si>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</si>
  <si>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</si>
  <si>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</si>
  <si>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</si>
  <si>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</si>
  <si>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</si>
  <si>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</si>
  <si>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</si>
  <si>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</si>
  <si>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</si>
  <si>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</si>
  <si>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</si>
  <si>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</si>
  <si>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</si>
  <si>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</si>
  <si>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</si>
  <si>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</si>
  <si>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</si>
  <si>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</si>
  <si>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</si>
  <si>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</si>
  <si>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</si>
  <si>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</si>
  <si>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</si>
  <si>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</si>
  <si>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</si>
  <si>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</si>
  <si>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</si>
  <si>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</si>
  <si>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</si>
  <si>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</si>
  <si>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</si>
  <si>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</si>
  <si>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</si>
  <si>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</si>
  <si>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</si>
  <si>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</si>
  <si>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</si>
  <si>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</si>
  <si>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</si>
  <si>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</si>
  <si>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</si>
  <si>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</si>
  <si>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</si>
  <si>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</si>
  <si>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</si>
  <si>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</si>
  <si>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</si>
  <si>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</si>
  <si>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</si>
  <si>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</si>
  <si>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</si>
  <si>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</si>
  <si>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</si>
  <si>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</si>
  <si>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</si>
  <si>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</si>
  <si>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</si>
  <si>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</si>
  <si>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</si>
  <si>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</si>
  <si>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</si>
  <si>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</si>
  <si>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</si>
  <si>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</si>
  <si>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</si>
  <si>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</si>
  <si>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</si>
  <si>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</si>
  <si>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</si>
  <si>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</si>
  <si>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</si>
  <si>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</si>
  <si>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</si>
  <si>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</si>
  <si>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</si>
  <si>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</si>
  <si>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</si>
  <si>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</si>
  <si>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</si>
  <si>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</si>
  <si>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LAUZON</t>
  </si>
  <si>
    <t xml:space="preserve">LAUZON A LA-BRILLANNE 2</t>
  </si>
  <si>
    <t xml:space="preserve">06710030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</si>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</sst>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42951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10.875</v>
      </c>
      <c r="N5" s="324"/>
      <c r="O5" s="325" t="s">
        <v>134</v>
      </c>
      <c r="P5" s="326" t="n">
        <v>12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54</v>
      </c>
      <c r="C7" s="342" t="n">
        <v>46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10.6666666666667</v>
      </c>
      <c r="P8" s="356" t="n">
        <f aca="false">IF(ISERROR(AVERAGE(K23:K82)),"  ",AVERAGE(K23:K82))</f>
        <v>1.55555555555556</v>
      </c>
      <c r="Q8" s="357"/>
      <c r="R8" s="281"/>
      <c r="S8" s="281"/>
      <c r="T8" s="281"/>
      <c r="U8" s="281"/>
      <c r="V8" s="281"/>
      <c r="W8" s="295"/>
      <c r="X8" s="0"/>
      <c r="Y8" s="0"/>
      <c r="Z8" s="0"/>
    </row>
    <row r="9" customFormat="false" ht="12.75" hidden="false" customHeight="false" outlineLevel="0" collapsed="false">
      <c r="A9" s="314" t="s">
        <v>3399</v>
      </c>
      <c r="B9" s="358" t="n">
        <v>15</v>
      </c>
      <c r="C9" s="359" t="n">
        <v>0.5</v>
      </c>
      <c r="D9" s="360"/>
      <c r="E9" s="360"/>
      <c r="F9" s="361" t="n">
        <f aca="false">($B9*$B$7+$C9*$C$7)/100</f>
        <v>8.33</v>
      </c>
      <c r="G9" s="362"/>
      <c r="H9" s="317"/>
      <c r="I9" s="281"/>
      <c r="J9" s="363"/>
      <c r="K9" s="364"/>
      <c r="L9" s="347"/>
      <c r="M9" s="365"/>
      <c r="N9" s="355" t="s">
        <v>3400</v>
      </c>
      <c r="O9" s="356" t="n">
        <f aca="false">IF(ISERROR(STDEVP(J23:J82))," ",STDEVP(J23:J82))</f>
        <v>3.62092683040007</v>
      </c>
      <c r="P9" s="356" t="n">
        <f aca="false">IF(ISERROR(STDEVP(K23:K82)),"  ",STDEVP(K23:K82))</f>
        <v>0.684934889218775</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4</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3</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0.642857142857143</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15.1</v>
      </c>
      <c r="C20" s="433" t="n">
        <f aca="false">SUM(C23:C82)</f>
        <v>0.565</v>
      </c>
      <c r="D20" s="434"/>
      <c r="E20" s="435" t="s">
        <v>3425</v>
      </c>
      <c r="F20" s="436" t="n">
        <f aca="false">($B20*$B$7+$C20*$C$7)/100</f>
        <v>8.4139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8.154</v>
      </c>
      <c r="C21" s="444" t="n">
        <f aca="false">C20*C7/100</f>
        <v>0.2599</v>
      </c>
      <c r="D21" s="445" t="s">
        <v>3428</v>
      </c>
      <c r="E21" s="446"/>
      <c r="F21" s="447" t="n">
        <f aca="false">B21+C21</f>
        <v>8.4139</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15</v>
      </c>
      <c r="C23" s="473" t="n">
        <v>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8.33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8.33</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309</v>
      </c>
      <c r="B24" s="490"/>
      <c r="C24" s="491" t="n">
        <v>0.005</v>
      </c>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0.0023</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0.0023</v>
      </c>
      <c r="S24" s="485" t="n">
        <f aca="false">IF(OR(ISTEXT(H24),R24=0),"",IF(R24&lt;0.1,1,IF(R24&lt;1,2,IF(R24&lt;10,3,IF(R24&lt;50,4,IF(R24&gt;=50,5,""))))))</f>
        <v>1</v>
      </c>
      <c r="T24" s="485" t="n">
        <f aca="false">IF(ISERROR(S24*J24),0,S24*J24)</f>
        <v>13</v>
      </c>
      <c r="U24" s="485" t="n">
        <f aca="false">IF(ISERROR(S24*J24*K24),0,S24*J24*K24)</f>
        <v>26</v>
      </c>
      <c r="V24" s="501" t="n">
        <f aca="false">IF(ISERROR(S24*K24),0,S24*K24)</f>
        <v>2</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343</v>
      </c>
      <c r="B25" s="490" t="n">
        <v>0.005</v>
      </c>
      <c r="C25" s="491"/>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0.0027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0.0027</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376</v>
      </c>
      <c r="B26" s="490"/>
      <c r="C26" s="491" t="n">
        <v>0.005</v>
      </c>
      <c r="D26" s="492" t="str">
        <f aca="false">IF(ISERROR(VLOOKUP($A26,'liste reference'!$A$6:$B$1174,2,0)),IF(ISERROR(VLOOKUP($A26,'liste reference'!$B$6:$B$1174,1,0)),"",VLOOKUP($A26,'liste reference'!$B$6:$B$1174,1,0)),VLOOKUP($A26,'liste reference'!$A$6:$B$1174,2,0))</f>
        <v>Tolypothrix sp.</v>
      </c>
      <c r="E26" s="493" t="e">
        <f aca="false">IF(D26="",0,VLOOKUP(D26,D$22:D25,1,0))</f>
        <v>#N/A</v>
      </c>
      <c r="F26" s="494" t="n">
        <f aca="false">IF(AND(OR(A26="",A26="!!!!!!"),B26="",C26=""),"",IF(OR(AND(B26="",C26=""),ISERROR(C26+B26)),"!!!",($B26*$B$7+$C26*$C$7)/100))</f>
        <v>0.0023</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Tolypothrix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6304</v>
      </c>
      <c r="R26" s="484" t="n">
        <f aca="false">IF(ISTEXT(H26),"",(B26*$B$7/100)+(C26*$C$7/100))</f>
        <v>0.0023</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TOYSPX</v>
      </c>
      <c r="Z26" s="470" t="n">
        <f aca="false">IF(ISERROR(MATCH(A26,'liste reference'!$A$6:$A$1174,0)),IF(ISERROR(MATCH(A26,'liste reference'!$B$6:$B$1174,0)),"",(MATCH(A26,'liste reference'!$B$6:$B$1174,0))),(MATCH(A26,'liste reference'!$A$6:$A$1174,0)))</f>
        <v>113</v>
      </c>
    </row>
    <row r="27" customFormat="false" ht="12.75" hidden="false" customHeight="false" outlineLevel="0" collapsed="false">
      <c r="A27" s="489" t="s">
        <v>557</v>
      </c>
      <c r="B27" s="490" t="n">
        <v>0.005</v>
      </c>
      <c r="C27" s="491"/>
      <c r="D27" s="492" t="str">
        <f aca="false">IF(ISERROR(VLOOKUP($A27,'liste reference'!$A$6:$B$1174,2,0)),IF(ISERROR(VLOOKUP($A27,'liste reference'!$B$6:$B$1174,1,0)),"",VLOOKUP($A27,'liste reference'!$B$6:$B$1174,1,0)),VLOOKUP($A27,'liste reference'!$A$6:$B$1174,2,0))</f>
        <v>Pellia sp.</v>
      </c>
      <c r="E27" s="493" t="e">
        <f aca="false">IF(D27="",0,VLOOKUP(D27,D$22:D26,1,0))</f>
        <v>#N/A</v>
      </c>
      <c r="F27" s="494" t="n">
        <f aca="false">IF(AND(OR(A27="",A27="!!!!!!"),B27="",C27=""),"",IF(OR(AND(B27="",C27=""),ISERROR(C27+B27)),"!!!",($B27*$B$7+$C27*$C$7)/100))</f>
        <v>0.0027</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Pellia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1196</v>
      </c>
      <c r="R27" s="484" t="n">
        <f aca="false">IF(ISTEXT(H27),"",(B27*$B$7/100)+(C27*$C$7/100))</f>
        <v>0.0027</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PELSPX</v>
      </c>
      <c r="Z27" s="470" t="n">
        <f aca="false">IF(ISERROR(MATCH(A27,'liste reference'!$A$6:$A$1174,0)),IF(ISERROR(MATCH(A27,'liste reference'!$B$6:$B$1174,0)),"",(MATCH(A27,'liste reference'!$B$6:$B$1174,0))),(MATCH(A27,'liste reference'!$A$6:$A$1174,0)))</f>
        <v>170</v>
      </c>
    </row>
    <row r="28" customFormat="false" ht="12.75" hidden="false" customHeight="false" outlineLevel="0" collapsed="false">
      <c r="A28" s="489" t="s">
        <v>723</v>
      </c>
      <c r="B28" s="490"/>
      <c r="C28" s="491" t="n">
        <v>0.01</v>
      </c>
      <c r="D28" s="492" t="str">
        <f aca="false">IF(ISERROR(VLOOKUP($A28,'liste reference'!$A$6:$B$1174,2,0)),IF(ISERROR(VLOOKUP($A28,'liste reference'!$B$6:$B$1174,1,0)),"",VLOOKUP($A28,'liste reference'!$B$6:$B$1174,1,0)),VLOOKUP($A28,'liste reference'!$A$6:$B$1174,2,0))</f>
        <v>Cratoneuron filicinum</v>
      </c>
      <c r="E28" s="493" t="e">
        <f aca="false">IF(D28="",0,VLOOKUP(D28,D$22:D27,1,0))</f>
        <v>#N/A</v>
      </c>
      <c r="F28" s="494" t="n">
        <f aca="false">IF(AND(OR(A28="",A28="!!!!!!"),B28="",C28=""),"",IF(OR(AND(B28="",C28=""),ISERROR(C28+B28)),"!!!",($B28*$B$7+$C28*$C$7)/100))</f>
        <v>0.0046</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18</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Cratoneuron filicinum</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1233</v>
      </c>
      <c r="R28" s="484" t="n">
        <f aca="false">IF(ISTEXT(H28),"",(B28*$B$7/100)+(C28*$C$7/100))</f>
        <v>0.0046</v>
      </c>
      <c r="S28" s="485" t="n">
        <f aca="false">IF(OR(ISTEXT(H28),R28=0),"",IF(R28&lt;0.1,1,IF(R28&lt;1,2,IF(R28&lt;10,3,IF(R28&lt;50,4,IF(R28&gt;=50,5,""))))))</f>
        <v>1</v>
      </c>
      <c r="T28" s="485" t="n">
        <f aca="false">IF(ISERROR(S28*J28),0,S28*J28)</f>
        <v>18</v>
      </c>
      <c r="U28" s="485" t="n">
        <f aca="false">IF(ISERROR(S28*J28*K28),0,S28*J28*K28)</f>
        <v>54</v>
      </c>
      <c r="V28" s="501" t="n">
        <f aca="false">IF(ISERROR(S28*K28),0,S28*K28)</f>
        <v>3</v>
      </c>
      <c r="W28" s="502"/>
      <c r="X28" s="503"/>
      <c r="Y28" s="488" t="str">
        <f aca="false">IF(AND(ISNUMBER(F28),OR(A28="",A28="!!!!!!")),"!!!!!!",IF(A28="new.cod","NEWCOD",IF(AND((Z28=""),ISTEXT(A28),A28&lt;&gt;"!!!!!!"),A28,IF(Z28="","",INDEX('liste reference'!$A$6:$A$1174,Z28)))))</f>
        <v>CRAFIL</v>
      </c>
      <c r="Z28" s="470" t="n">
        <f aca="false">IF(ISERROR(MATCH(A28,'liste reference'!$A$6:$A$1174,0)),IF(ISERROR(MATCH(A28,'liste reference'!$B$6:$B$1174,0)),"",(MATCH(A28,'liste reference'!$B$6:$B$1174,0))),(MATCH(A28,'liste reference'!$A$6:$A$1174,0)))</f>
        <v>227</v>
      </c>
    </row>
    <row r="29" customFormat="false" ht="12.75" hidden="false" customHeight="false" outlineLevel="0" collapsed="false">
      <c r="A29" s="489" t="s">
        <v>830</v>
      </c>
      <c r="B29" s="490" t="n">
        <v>0.05</v>
      </c>
      <c r="C29" s="491"/>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0.027</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0.027</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889</v>
      </c>
      <c r="B30" s="490" t="n">
        <v>0.01</v>
      </c>
      <c r="C30" s="491"/>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0.0054</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0.0054</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974</v>
      </c>
      <c r="B31" s="490" t="n">
        <v>0.005</v>
      </c>
      <c r="C31" s="491" t="n">
        <v>0.005</v>
      </c>
      <c r="D31" s="492" t="str">
        <f aca="false">IF(ISERROR(VLOOKUP($A31,'liste reference'!$A$6:$B$1174,2,0)),IF(ISERROR(VLOOKUP($A31,'liste reference'!$B$6:$B$1174,1,0)),"",VLOOKUP($A31,'liste reference'!$B$6:$B$1174,1,0)),VLOOKUP($A31,'liste reference'!$A$6:$B$1174,2,0))</f>
        <v>Leptodictyum riparium </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1244</v>
      </c>
      <c r="R31" s="484" t="n">
        <f aca="false">IF(ISTEXT(H31),"",(B31*$B$7/100)+(C31*$C$7/100))</f>
        <v>0.005</v>
      </c>
      <c r="S31" s="485" t="n">
        <f aca="false">IF(OR(ISTEXT(H31),R31=0),"",IF(R31&lt;0.1,1,IF(R31&lt;1,2,IF(R31&lt;10,3,IF(R31&lt;50,4,IF(R31&gt;=50,5,""))))))</f>
        <v>1</v>
      </c>
      <c r="T31" s="485" t="n">
        <f aca="false">IF(ISERROR(S31*J31),0,S31*J31)</f>
        <v>5</v>
      </c>
      <c r="U31" s="485" t="n">
        <f aca="false">IF(ISERROR(S31*J31*K31),0,S31*J31*K31)</f>
        <v>10</v>
      </c>
      <c r="V31" s="501" t="n">
        <f aca="false">IF(ISERROR(S31*K31),0,S31*K31)</f>
        <v>2</v>
      </c>
      <c r="W31" s="502"/>
      <c r="X31" s="503"/>
      <c r="Y31" s="488" t="str">
        <f aca="false">IF(AND(ISNUMBER(F31),OR(A31="",A31="!!!!!!")),"!!!!!!",IF(A31="new.cod","NEWCOD",IF(AND((Z31=""),ISTEXT(A31),A31&lt;&gt;"!!!!!!"),A31,IF(Z31="","",INDEX('liste reference'!$A$6:$A$1174,Z31)))))</f>
        <v>LEORIP</v>
      </c>
      <c r="Z31" s="470" t="n">
        <f aca="false">IF(ISERROR(MATCH(A31,'liste reference'!$A$6:$A$1174,0)),IF(ISERROR(MATCH(A31,'liste reference'!$B$6:$B$1174,0)),"",(MATCH(A31,'liste reference'!$B$6:$B$1174,0))),(MATCH(A31,'liste reference'!$A$6:$A$1174,0)))</f>
        <v>298</v>
      </c>
    </row>
    <row r="32" customFormat="false" ht="12.75" hidden="false" customHeight="false" outlineLevel="0" collapsed="false">
      <c r="A32" s="489" t="s">
        <v>1122</v>
      </c>
      <c r="B32" s="490"/>
      <c r="C32" s="491" t="n">
        <v>0.02</v>
      </c>
      <c r="D32" s="492" t="str">
        <f aca="false">IF(ISERROR(VLOOKUP($A32,'liste reference'!$A$6:$B$1174,2,0)),IF(ISERROR(VLOOKUP($A32,'liste reference'!$B$6:$B$1174,1,0)),"",VLOOKUP($A32,'liste reference'!$B$6:$B$1174,1,0)),VLOOKUP($A32,'liste reference'!$A$6:$B$1174,2,0))</f>
        <v>Rhynchostegium riparioides</v>
      </c>
      <c r="E32" s="493" t="e">
        <f aca="false">IF(D32="",0,VLOOKUP(D32,D$22:D31,1,0))</f>
        <v>#N/A</v>
      </c>
      <c r="F32" s="494" t="n">
        <f aca="false">IF(AND(OR(A32="",A32="!!!!!!"),B32="",C32=""),"",IF(OR(AND(B32="",C32=""),ISERROR(C32+B32)),"!!!",($B32*$B$7+$C32*$C$7)/100))</f>
        <v>0.0092</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Rhynchostegium riparioides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31691</v>
      </c>
      <c r="R32" s="484" t="n">
        <f aca="false">IF(ISTEXT(H32),"",(B32*$B$7/100)+(C32*$C$7/100))</f>
        <v>0.0092</v>
      </c>
      <c r="S32" s="485" t="n">
        <f aca="false">IF(OR(ISTEXT(H32),R32=0),"",IF(R32&lt;0.1,1,IF(R32&lt;1,2,IF(R32&lt;10,3,IF(R32&lt;50,4,IF(R32&gt;=50,5,""))))))</f>
        <v>1</v>
      </c>
      <c r="T32" s="485" t="n">
        <f aca="false">IF(ISERROR(S32*J32),0,S32*J32)</f>
        <v>12</v>
      </c>
      <c r="U32" s="485" t="n">
        <f aca="false">IF(ISERROR(S32*J32*K32),0,S32*J32*K32)</f>
        <v>12</v>
      </c>
      <c r="V32" s="501" t="n">
        <f aca="false">IF(ISERROR(S32*K32),0,S32*K32)</f>
        <v>1</v>
      </c>
      <c r="W32" s="502"/>
      <c r="X32" s="503"/>
      <c r="Y32" s="488" t="str">
        <f aca="false">IF(AND(ISNUMBER(F32),OR(A32="",A32="!!!!!!")),"!!!!!!",IF(A32="new.cod","NEWCOD",IF(AND((Z32=""),ISTEXT(A32),A32&lt;&gt;"!!!!!!"),A32,IF(Z32="","",INDEX('liste reference'!$A$6:$A$1174,Z32)))))</f>
        <v>RHYRIP</v>
      </c>
      <c r="Z32" s="470" t="n">
        <f aca="false">IF(ISERROR(MATCH(A32,'liste reference'!$A$6:$A$1174,0)),IF(ISERROR(MATCH(A32,'liste reference'!$B$6:$B$1174,0)),"",(MATCH(A32,'liste reference'!$B$6:$B$1174,0))),(MATCH(A32,'liste reference'!$A$6:$A$1174,0)))</f>
        <v>345</v>
      </c>
    </row>
    <row r="33" customFormat="false" ht="12.75" hidden="false" customHeight="false" outlineLevel="0" collapsed="false">
      <c r="A33" s="489" t="s">
        <v>1255</v>
      </c>
      <c r="B33" s="490" t="n">
        <v>0.005</v>
      </c>
      <c r="C33" s="491"/>
      <c r="D33" s="492" t="str">
        <f aca="false">IF(ISERROR(VLOOKUP($A33,'liste reference'!$A$6:$B$1174,2,0)),IF(ISERROR(VLOOKUP($A33,'liste reference'!$B$6:$B$1174,1,0)),"",VLOOKUP($A33,'liste reference'!$B$6:$B$1174,1,0)),VLOOKUP($A33,'liste reference'!$A$6:$B$1174,2,0))</f>
        <v>Equisetum arvense</v>
      </c>
      <c r="E33" s="493" t="e">
        <f aca="false">IF(D33="",0,VLOOKUP(D33,D$22:D32,1,0))</f>
        <v>#N/A</v>
      </c>
      <c r="F33" s="494" t="n">
        <f aca="false">IF(AND(OR(A33="",A33="!!!!!!"),B33="",C33=""),"",IF(OR(AND(B33="",C33=""),ISERROR(C33+B33)),"!!!",($B33*$B$7+$C33*$C$7)/100))</f>
        <v>0.0027</v>
      </c>
      <c r="G33" s="495" t="str">
        <f aca="false">IF(A33="","",IF(ISERROR(VLOOKUP($A33,'liste reference'!$A$6:$Q$1174,9,0)),IF(ISERROR(VLOOKUP($A33,'liste reference'!$B$6:$Q$1174,8,0)),"    -",VLOOKUP($A33,'liste reference'!$B$6:$Q$1174,8,0)),VLOOKUP($A33,'liste reference'!$A$6:$Q$1174,9,0)))</f>
        <v>PTE</v>
      </c>
      <c r="H33" s="496" t="n">
        <f aca="false">IF(A33="","x",IF(ISERROR(VLOOKUP($A33,'liste reference'!$A$6:$Q$1174,10,0)),IF(ISERROR(VLOOKUP($A33,'liste reference'!$B$6:$Q$1174,9,0)),"x",VLOOKUP($A33,'liste reference'!$B$6:$Q$1174,9,0)),VLOOKUP($A33,'liste reference'!$A$6:$Q$1174,10,0)))</f>
        <v>6</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1384</v>
      </c>
      <c r="R33" s="484" t="n">
        <f aca="false">IF(ISTEXT(H33),"",(B33*$B$7/100)+(C33*$C$7/100))</f>
        <v>0.0027</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EQUARV</v>
      </c>
      <c r="Z33" s="470" t="n">
        <f aca="false">IF(ISERROR(MATCH(A33,'liste reference'!$A$6:$A$1174,0)),IF(ISERROR(MATCH(A33,'liste reference'!$B$6:$B$1174,0)),"",(MATCH(A33,'liste reference'!$B$6:$B$1174,0))),(MATCH(A33,'liste reference'!$A$6:$A$1174,0)))</f>
        <v>385</v>
      </c>
    </row>
    <row r="34" customFormat="false" ht="12.75" hidden="false" customHeight="false" outlineLevel="0" collapsed="false">
      <c r="A34" s="489" t="s">
        <v>1932</v>
      </c>
      <c r="B34" s="490" t="n">
        <v>0.02</v>
      </c>
      <c r="C34" s="491" t="n">
        <v>0.01</v>
      </c>
      <c r="D34" s="492" t="str">
        <f aca="false">IF(ISERROR(VLOOKUP($A34,'liste reference'!$A$6:$B$1174,2,0)),IF(ISERROR(VLOOKUP($A34,'liste reference'!$B$6:$B$1174,1,0)),"",VLOOKUP($A34,'liste reference'!$B$6:$B$1174,1,0)),VLOOKUP($A34,'liste reference'!$A$6:$B$1174,2,0))</f>
        <v>Agrostis stolonifera</v>
      </c>
      <c r="E34" s="493" t="e">
        <f aca="false">IF(D34="",0,VLOOKUP(D34,D$22:D33,1,0))</f>
        <v>#N/A</v>
      </c>
      <c r="F34" s="494" t="n">
        <f aca="false">IF(AND(OR(A34="",A34="!!!!!!"),B34="",C34=""),"",IF(OR(AND(B34="",C34=""),ISERROR(C34+B34)),"!!!",($B34*$B$7+$C34*$C$7)/100))</f>
        <v>0.0154</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1543</v>
      </c>
      <c r="R34" s="484" t="n">
        <f aca="false">IF(ISTEXT(H34),"",(B34*$B$7/100)+(C34*$C$7/100))</f>
        <v>0.0154</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AGRSTO</v>
      </c>
      <c r="Z34" s="470" t="n">
        <f aca="false">IF(ISERROR(MATCH(A34,'liste reference'!$A$6:$A$1174,0)),IF(ISERROR(MATCH(A34,'liste reference'!$B$6:$B$1174,0)),"",(MATCH(A34,'liste reference'!$B$6:$B$1174,0))),(MATCH(A34,'liste reference'!$A$6:$A$1174,0)))</f>
        <v>623</v>
      </c>
    </row>
    <row r="35" customFormat="false" ht="12.75" hidden="false" customHeight="false" outlineLevel="0" collapsed="false">
      <c r="A35" s="489" t="s">
        <v>2138</v>
      </c>
      <c r="B35" s="490"/>
      <c r="C35" s="491" t="n">
        <v>0.005</v>
      </c>
      <c r="D35" s="492" t="str">
        <f aca="false">IF(ISERROR(VLOOKUP($A35,'liste reference'!$A$6:$B$1174,2,0)),IF(ISERROR(VLOOKUP($A35,'liste reference'!$B$6:$B$1174,1,0)),"",VLOOKUP($A35,'liste reference'!$B$6:$B$1174,1,0)),VLOOKUP($A35,'liste reference'!$A$6:$B$1174,2,0))</f>
        <v>Mentha longifolia</v>
      </c>
      <c r="E35" s="493" t="e">
        <f aca="false">IF(D35="",0,VLOOKUP(D35,D$22:D34,1,0))</f>
        <v>#N/A</v>
      </c>
      <c r="F35" s="494" t="n">
        <f aca="false">IF(AND(OR(A35="",A35="!!!!!!"),B35="",C35=""),"",IF(OR(AND(B35="",C35=""),ISERROR(C35+B35)),"!!!",($B35*$B$7+$C35*$C$7)/100))</f>
        <v>0.0023</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longifolia</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19856</v>
      </c>
      <c r="R35" s="484" t="n">
        <f aca="false">IF(ISTEXT(H35),"",(B35*$B$7/100)+(C35*$C$7/100))</f>
        <v>0.0023</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MENLON</v>
      </c>
      <c r="Z35" s="470" t="n">
        <f aca="false">IF(ISERROR(MATCH(A35,'liste reference'!$A$6:$A$1174,0)),IF(ISERROR(MATCH(A35,'liste reference'!$B$6:$B$1174,0)),"",(MATCH(A35,'liste reference'!$B$6:$B$1174,0))),(MATCH(A35,'liste reference'!$A$6:$A$1174,0)))</f>
        <v>695</v>
      </c>
    </row>
    <row r="36" customFormat="false" ht="12.75" hidden="false" customHeight="false" outlineLevel="0" collapsed="false">
      <c r="A36" s="489" t="s">
        <v>3252</v>
      </c>
      <c r="B36" s="490"/>
      <c r="C36" s="491" t="n">
        <v>0.005</v>
      </c>
      <c r="D36" s="492" t="str">
        <f aca="false">IF(ISERROR(VLOOKUP($A36,'liste reference'!$A$6:$B$1174,2,0)),IF(ISERROR(VLOOKUP($A36,'liste reference'!$B$6:$B$1174,1,0)),"",VLOOKUP($A36,'liste reference'!$B$6:$B$1174,1,0)),VLOOKUP($A36,'liste reference'!$A$6:$B$1174,2,0))</f>
        <v>Ranunculus repens</v>
      </c>
      <c r="E36" s="493" t="e">
        <f aca="false">IF(D36="",0,VLOOKUP(D36,D$22:D35,1,0))</f>
        <v>#N/A</v>
      </c>
      <c r="F36" s="494" t="n">
        <f aca="false">IF(AND(OR(A36="",A36="!!!!!!"),B36="",C36=""),"",IF(OR(AND(B36="",C36=""),ISERROR(C36+B36)),"!!!",($B36*$B$7+$C36*$C$7)/100))</f>
        <v>0.0023</v>
      </c>
      <c r="G36" s="495" t="str">
        <f aca="false">IF(A36="","",IF(ISERROR(VLOOKUP($A36,'liste reference'!$A$6:$Q$1174,9,0)),IF(ISERROR(VLOOKUP($A36,'liste reference'!$B$6:$Q$1174,8,0)),"    -",VLOOKUP($A36,'liste reference'!$B$6:$Q$1174,8,0)),VLOOKUP($A36,'liste reference'!$A$6:$Q$1174,9,0)))</f>
        <v>PHx</v>
      </c>
      <c r="H36" s="496" t="n">
        <f aca="false">IF(A36="","x",IF(ISERROR(VLOOKUP($A36,'liste reference'!$A$6:$Q$1174,10,0)),IF(ISERROR(VLOOKUP($A36,'liste reference'!$B$6:$Q$1174,9,0)),"x",VLOOKUP($A36,'liste reference'!$B$6:$Q$1174,9,0)),VLOOKUP($A36,'liste reference'!$A$6:$Q$1174,10,0)))</f>
        <v>10</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Ranunculus repens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1910</v>
      </c>
      <c r="R36" s="484" t="n">
        <f aca="false">IF(ISTEXT(H36),"",(B36*$B$7/100)+(C36*$C$7/100))</f>
        <v>0.0023</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RANREP</v>
      </c>
      <c r="Z36" s="470" t="n">
        <f aca="false">IF(ISERROR(MATCH(A36,'liste reference'!$A$6:$A$1174,0)),IF(ISERROR(MATCH(A36,'liste reference'!$B$6:$B$1174,0)),"",(MATCH(A36,'liste reference'!$B$6:$B$1174,0))),(MATCH(A36,'liste reference'!$A$6:$A$1174,0)))</f>
        <v>1128</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8.4139</v>
      </c>
      <c r="G83" s="424"/>
      <c r="H83" s="424"/>
      <c r="I83" s="424"/>
      <c r="J83" s="424"/>
      <c r="K83" s="424"/>
      <c r="L83" s="424"/>
      <c r="M83" s="485"/>
      <c r="N83" s="485"/>
      <c r="O83" s="485"/>
      <c r="P83" s="485"/>
      <c r="Q83" s="485"/>
      <c r="R83" s="485"/>
      <c r="S83" s="485"/>
      <c r="T83" s="485"/>
      <c r="U83" s="485"/>
      <c r="V83" s="485" t="n">
        <f aca="false">SUM(V23:V82)</f>
        <v>16</v>
      </c>
      <c r="W83" s="485"/>
      <c r="X83" s="523"/>
      <c r="Y83" s="523"/>
      <c r="Z83" s="524"/>
    </row>
    <row r="84" customFormat="false" ht="12.75" hidden="true" customHeight="false" outlineLevel="0" collapsed="false">
      <c r="A84" s="518" t="str">
        <f aca="false">A3</f>
        <v>LAUZON</v>
      </c>
      <c r="B84" s="453" t="str">
        <f aca="false">C3</f>
        <v>LAUZON A LA-BRILLANNE 2</v>
      </c>
      <c r="C84" s="525" t="str">
        <f aca="false">A4</f>
        <v>(Date)</v>
      </c>
      <c r="D84" s="526" t="n">
        <f aca="false">IF(OR(ISERROR(SUM($U$23:$U$82)/SUM($V$23:$V$82)),F7&lt;&gt;100),-1,SUM($U$23:$U$82)/SUM($V$23:$V$82))</f>
        <v>10.875</v>
      </c>
      <c r="E84" s="527" t="n">
        <f aca="false">O13</f>
        <v>14</v>
      </c>
      <c r="F84" s="453" t="n">
        <f aca="false">O14</f>
        <v>9</v>
      </c>
      <c r="G84" s="453" t="n">
        <f aca="false">O15</f>
        <v>5</v>
      </c>
      <c r="H84" s="453" t="n">
        <f aca="false">O16</f>
        <v>3</v>
      </c>
      <c r="I84" s="453" t="n">
        <f aca="false">O17</f>
        <v>1</v>
      </c>
      <c r="J84" s="528" t="n">
        <f aca="false">O8</f>
        <v>10.6666666666667</v>
      </c>
      <c r="K84" s="529" t="n">
        <f aca="false">O9</f>
        <v>3.62092683040007</v>
      </c>
      <c r="L84" s="530" t="n">
        <f aca="false">O10</f>
        <v>5</v>
      </c>
      <c r="M84" s="530" t="n">
        <f aca="false">O11</f>
        <v>18</v>
      </c>
      <c r="N84" s="529" t="n">
        <f aca="false">P8</f>
        <v>1.55555555555556</v>
      </c>
      <c r="O84" s="529" t="n">
        <f aca="false">P9</f>
        <v>0.684934889218775</v>
      </c>
      <c r="P84" s="530" t="n">
        <f aca="false">P10</f>
        <v>1</v>
      </c>
      <c r="Q84" s="530" t="n">
        <f aca="false">P11</f>
        <v>3</v>
      </c>
      <c r="R84" s="530" t="n">
        <f aca="false">F21</f>
        <v>8.4139</v>
      </c>
      <c r="S84" s="530" t="n">
        <f aca="false">L11</f>
        <v>0</v>
      </c>
      <c r="T84" s="530" t="n">
        <f aca="false">L12</f>
        <v>4</v>
      </c>
      <c r="U84" s="530" t="n">
        <f aca="false">L13</f>
        <v>6</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18</v>
      </c>
      <c r="U87" s="281"/>
      <c r="V87" s="281"/>
    </row>
    <row r="88" customFormat="false" ht="12.75" hidden="true" customHeight="false" outlineLevel="0" collapsed="false">
      <c r="C88" s="534"/>
      <c r="D88" s="534"/>
      <c r="E88" s="534"/>
      <c r="R88" s="281" t="s">
        <v>3452</v>
      </c>
      <c r="S88" s="281"/>
      <c r="T88" s="536" t="n">
        <f aca="false">VLOOKUP($T$91,($A$23:$U$82),21,0)</f>
        <v>18</v>
      </c>
      <c r="U88" s="281"/>
      <c r="V88" s="281" t="n">
        <f aca="false">COUNTIF(V23:V82,T89)</f>
        <v>2</v>
      </c>
    </row>
    <row r="89" customFormat="false" ht="12.75" hidden="true" customHeight="false" outlineLevel="0" collapsed="false">
      <c r="C89" s="534"/>
      <c r="D89" s="534"/>
      <c r="E89" s="534"/>
      <c r="R89" s="281" t="s">
        <v>3453</v>
      </c>
      <c r="S89" s="281"/>
      <c r="T89" s="536" t="n">
        <f aca="false">MAX($V$23:$V$82)</f>
        <v>3</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2018-03-19T14:48:23Z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