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Var Utell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'Var Utelle'!$A$1:$O$82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'Var Utelle'!$A$23:$J$84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<sst xmlns="http://schemas.openxmlformats.org/spreadsheetml/2006/main" count="7344" uniqueCount="2731">
  <si>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</si>
  <si>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</si>
  <si>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</si>
  <si>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</si>
  <si>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</si>
  <si>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</si>
  <si>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</si>
  <si>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</si>
  <si>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</si>
  <si>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</si>
  <si>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</si>
  <si>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</si>
  <si>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</si>
  <si>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</si>
  <si>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</si>
  <si>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</si>
  <si>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</si>
  <si>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</si>
  <si>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</si>
  <si>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</si>
  <si>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</si>
  <si>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</si>
  <si>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</si>
  <si>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</si>
  <si>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</si>
  <si>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</si>
  <si>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</si>
  <si>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</si>
  <si>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</si>
  <si>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</si>
  <si>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</si>
  <si>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</si>
  <si>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</si>
  <si>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</si>
  <si>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</si>
  <si>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</si>
  <si>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</si>
  <si>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</si>
  <si>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</si>
  <si>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</si>
  <si>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</si>
  <si>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</si>
  <si>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</si>
  <si>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</si>
  <si>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</si>
  <si>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</si>
  <si>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</si>
  <si>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</si>
  <si>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</si>
  <si>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</si>
  <si>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</si>
  <si>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</si>
  <si>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</si>
  <si>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</si>
  <si>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</si>
  <si>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</si>
  <si>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</si>
  <si>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</si>
  <si>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</si>
  <si>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</si>
  <si>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</si>
  <si>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</si>
  <si>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</si>
  <si>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</si>
  <si>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</si>
  <si>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</si>
  <si>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</si>
  <si>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</si>
  <si>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</si>
  <si>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</si>
  <si>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</si>
  <si>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</si>
  <si>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</si>
  <si>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</si>
  <si>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</si>
  <si>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</si>
  <si>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</si>
  <si>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</si>
  <si>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</si>
  <si>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</si>
  <si>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</si>
  <si>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</si>
  <si>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</si>
  <si>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</si>
  <si>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</si>
  <si>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</si>
  <si>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</si>
  <si>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</si>
  <si>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</si>
  <si>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</si>
  <si>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</si>
  <si>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</si>
  <si>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</si>
  <si>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</si>
  <si>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</si>
  <si>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</si>
  <si>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</si>
  <si>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</si>
  <si>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</si>
  <si>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</si>
  <si>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</si>
  <si>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</si>
  <si>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</si>
  <si>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</si>
  <si>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</si>
  <si>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</si>
  <si>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</si>
  <si>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</si>
  <si>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</si>
  <si>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</si>
  <si>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</si>
  <si>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</si>
  <si>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</si>
  <si>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</si>
  <si>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</si>
  <si>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</si>
  <si>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</si>
  <si>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</si>
  <si>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</si>
  <si>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</si>
  <si>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</si>
  <si>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</si>
  <si>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</si>
  <si>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</si>
  <si>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</si>
  <si>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</si>
  <si>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</si>
  <si>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</si>
  <si>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</si>
  <si>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</si>
  <si>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</si>
  <si>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</si>
  <si>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</si>
  <si>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</si>
  <si>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</si>
  <si>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</si>
  <si>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</si>
  <si>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</si>
  <si>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</si>
  <si>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</si>
  <si>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</si>
  <si>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</si>
  <si>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</si>
  <si>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</si>
  <si>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</si>
  <si>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</si>
  <si>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</si>
  <si>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</si>
  <si>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</si>
  <si>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</si>
  <si>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</si>
  <si>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</si>
  <si>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</si>
  <si>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</si>
  <si>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</si>
  <si>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</si>
  <si>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</si>
  <si>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</si>
  <si>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</si>
  <si>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</si>
  <si>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</si>
  <si>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</si>
  <si>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</si>
  <si>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</si>
  <si>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</si>
  <si>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</si>
  <si>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</si>
  <si>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</si>
  <si>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</si>
  <si>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</si>
  <si>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</si>
  <si>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</si>
  <si>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</si>
  <si>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</si>
  <si>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</si>
  <si>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</si>
  <si>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</si>
  <si>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</si>
  <si>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</si>
  <si>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</si>
  <si>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</si>
  <si>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</si>
  <si>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</si>
  <si>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</si>
  <si>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</si>
  <si>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</si>
  <si>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</si>
  <si>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</si>
  <si>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</si>
  <si>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</si>
  <si>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</si>
  <si>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</si>
  <si>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</si>
  <si>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</si>
  <si>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</si>
  <si>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</si>
  <si>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</si>
  <si>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</si>
  <si>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</si>
  <si>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</si>
  <si>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</si>
  <si>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</si>
  <si>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</si>
  <si>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</si>
  <si>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</si>
  <si>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</si>
  <si>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</si>
  <si>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</si>
  <si>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</si>
  <si>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</si>
  <si>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</si>
  <si>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</si>
  <si>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</si>
  <si>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</si>
  <si>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</si>
  <si>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</si>
  <si>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</si>
  <si>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</si>
  <si>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</si>
  <si>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</si>
  <si>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</si>
  <si>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</si>
  <si>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</si>
  <si>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</si>
  <si>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</si>
  <si>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</si>
  <si>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</si>
  <si>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</si>
  <si>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</si>
  <si>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</si>
  <si>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</si>
  <si>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</si>
  <si>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</si>
  <si>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</si>
  <si>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</si>
  <si>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</si>
  <si>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</si>
  <si>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</si>
  <si>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</si>
  <si>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</si>
  <si>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</si>
  <si>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</si>
  <si>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</si>
  <si>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</si>
  <si>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</si>
  <si>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</si>
  <si>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</si>
  <si>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</si>
  <si>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</si>
  <si>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</si>
  <si>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</si>
  <si>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</si>
  <si>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</si>
  <si>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</si>
  <si>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</si>
  <si>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</si>
  <si>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</si>
  <si>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</si>
  <si>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</si>
  <si>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</si>
  <si>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</si>
  <si>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</si>
  <si>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</si>
  <si>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</si>
  <si>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</si>
  <si>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</si>
  <si>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</si>
  <si>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</si>
  <si>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</si>
  <si>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</si>
  <si>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</si>
  <si>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</si>
  <si>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</si>
  <si>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</si>
  <si>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</si>
  <si>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</si>
  <si>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</si>
  <si>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</si>
  <si>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</si>
  <si>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</si>
  <si>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</si>
  <si>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</si>
  <si>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</si>
  <si>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</si>
  <si>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</si>
  <si>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</si>
  <si>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</si>
  <si>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</si>
  <si>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</si>
  <si>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</si>
  <si>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</si>
  <si>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</si>
  <si>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</si>
  <si>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</si>
  <si>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</si>
  <si>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</si>
  <si>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</si>
  <si>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</si>
  <si>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</si>
  <si>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</si>
  <si>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</si>
  <si>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</si>
  <si>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</si>
  <si>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</si>
  <si>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</si>
  <si>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</si>
  <si>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</si>
  <si>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</si>
  <si>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</si>
  <si>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</si>
  <si>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</si>
  <si>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</si>
  <si>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</si>
  <si>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</si>
  <si>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</si>
  <si>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</si>
  <si>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</si>
  <si>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</si>
  <si>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</si>
  <si>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</si>
  <si>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</si>
  <si>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</si>
  <si>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</si>
  <si>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</si>
  <si>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</si>
  <si>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</si>
  <si>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</si>
  <si>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</si>
  <si>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</si>
  <si>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</si>
  <si>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</si>
  <si>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</si>
  <si>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</si>
  <si>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</si>
  <si>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</si>
  <si>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</si>
  <si>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</si>
  <si>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</si>
  <si>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</si>
  <si>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</si>
  <si>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</si>
  <si>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</si>
  <si>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</si>
  <si>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</si>
  <si>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</si>
  <si>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</si>
  <si>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</si>
  <si>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</si>
  <si>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</si>
  <si>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</si>
  <si>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</si>
  <si>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</si>
  <si>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</si>
  <si>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</si>
  <si>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</si>
  <si>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</si>
  <si>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</si>
  <si>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</si>
  <si>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</si>
  <si>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</si>
  <si>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</si>
  <si>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</si>
  <si>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</si>
  <si>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</si>
  <si>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</si>
  <si>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</si>
  <si>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</si>
  <si>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</si>
  <si>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</si>
  <si>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</si>
  <si>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</si>
  <si>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</si>
  <si>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</si>
  <si>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</si>
  <si>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</si>
  <si>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</si>
  <si>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</si>
  <si>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</si>
  <si>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</si>
  <si>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</si>
  <si>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</si>
  <si>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</si>
  <si>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</si>
  <si>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</si>
  <si>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</si>
  <si>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</si>
  <si>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</si>
  <si>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</si>
  <si>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</si>
  <si>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</si>
  <si>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</si>
  <si>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</si>
  <si>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</si>
  <si>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</si>
  <si>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</si>
  <si>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</si>
  <si>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</si>
  <si>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</si>
  <si>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</si>
  <si>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</si>
  <si>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</si>
  <si>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</si>
  <si>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</si>
  <si>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</si>
  <si>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</si>
  <si>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</si>
  <si>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</si>
  <si>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</si>
  <si>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</si>
  <si>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</si>
  <si>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</si>
  <si>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</si>
  <si>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</si>
  <si>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</si>
  <si>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</si>
  <si>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</si>
  <si>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</si>
  <si>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</si>
  <si>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</si>
  <si>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</si>
  <si>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</si>
  <si>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</si>
  <si>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</si>
  <si>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</si>
  <si>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</si>
  <si>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</si>
  <si>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</si>
  <si>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</si>
  <si>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</si>
  <si>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</si>
  <si>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</si>
  <si>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</si>
  <si>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</si>
  <si>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</si>
  <si>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</si>
  <si>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</si>
  <si>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</si>
  <si>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</si>
  <si>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</si>
  <si>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</si>
  <si>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</si>
  <si>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</si>
  <si>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</si>
  <si>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</si>
  <si>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</si>
  <si>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</si>
  <si>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</si>
  <si>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</si>
  <si>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</si>
  <si>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</si>
  <si>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</si>
  <si>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</si>
  <si>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</si>
  <si>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</si>
  <si>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</si>
  <si>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</si>
  <si>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</si>
  <si>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</si>
  <si>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</si>
  <si>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</si>
  <si>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</si>
  <si>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</si>
  <si>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</si>
  <si>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</si>
  <si>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</si>
  <si>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</si>
  <si>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</si>
  <si>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</si>
  <si>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</si>
  <si>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</si>
  <si>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</si>
  <si>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</si>
  <si>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</si>
  <si>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</si>
  <si>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</si>
  <si>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</si>
  <si>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</si>
  <si>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</si>
  <si>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</si>
  <si>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</si>
  <si>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</si>
  <si>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</si>
  <si>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</si>
  <si>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</si>
  <si>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</si>
  <si>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</si>
  <si>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</si>
  <si>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</si>
  <si>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</si>
  <si>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</si>
  <si>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</si>
  <si>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</si>
  <si>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</si>
  <si>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</si>
  <si>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</si>
  <si>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</si>
  <si>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</si>
  <si>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</si>
  <si>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</si>
  <si>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</si>
  <si>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</si>
  <si>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</si>
  <si>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</si>
  <si>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</si>
  <si>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</si>
  <si>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</si>
  <si>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</si>
  <si>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</si>
  <si>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</si>
  <si>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</si>
  <si>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</si>
  <si>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</si>
  <si>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</si>
  <si>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</si>
  <si>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</si>
  <si>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</si>
  <si>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</si>
  <si>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</si>
  <si>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</si>
  <si>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</si>
  <si>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</si>
  <si>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</si>
  <si>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</si>
  <si>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</si>
  <si>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</si>
  <si>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</si>
  <si>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</si>
  <si>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</si>
  <si>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</si>
  <si>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</si>
  <si>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</si>
  <si>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</si>
  <si>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</si>
  <si>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</si>
  <si>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</si>
  <si>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</si>
  <si>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</si>
  <si>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</si>
  <si>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</si>
  <si>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</si>
  <si>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</si>
  <si>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</si>
  <si>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</si>
  <si>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</si>
  <si>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</si>
  <si>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</si>
  <si>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</si>
  <si>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</si>
  <si>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</si>
  <si>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</si>
  <si>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</si>
  <si>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</si>
  <si>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</si>
  <si>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</si>
  <si>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</si>
  <si>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</si>
  <si>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</si>
  <si>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</si>
  <si>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</si>
  <si>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</si>
  <si>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</si>
  <si>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</si>
  <si>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</si>
  <si>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</si>
  <si>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</si>
  <si>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</si>
  <si>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</si>
  <si>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</si>
  <si>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</si>
  <si>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</si>
  <si>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</si>
  <si>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</si>
  <si>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</si>
  <si>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</si>
  <si>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</si>
  <si>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</si>
  <si>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</si>
  <si>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</si>
  <si>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</si>
  <si>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</si>
  <si>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</si>
  <si>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</si>
  <si>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</si>
  <si>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</si>
  <si>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</si>
  <si>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</si>
  <si>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</si>
  <si>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</si>
  <si>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</si>
  <si>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</si>
  <si>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</si>
  <si>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</si>
  <si>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</si>
  <si>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</si>
  <si>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</si>
  <si>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</si>
  <si>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</si>
  <si>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</si>
  <si>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</si>
  <si>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</si>
  <si>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</si>
  <si>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</si>
  <si>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</si>
  <si>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</si>
  <si>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</si>
  <si>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</si>
  <si>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</si>
  <si>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</si>
  <si>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</si>
  <si>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</si>
  <si>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</si>
  <si>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</si>
  <si>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</si>
  <si>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</si>
  <si>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</si>
  <si>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</si>
  <si>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</si>
  <si>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</si>
  <si>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</si>
  <si>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</si>
  <si>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</si>
  <si>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</si>
  <si>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</si>
  <si>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</si>
  <si>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</si>
  <si>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</si>
  <si>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</si>
  <si>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</si>
  <si>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</si>
  <si>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</si>
  <si>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</si>
  <si>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</si>
  <si>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</si>
  <si>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</si>
  <si>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</si>
  <si>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</si>
  <si>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</si>
  <si>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</si>
  <si>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</si>
  <si>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</si>
  <si>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</si>
  <si>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</si>
  <si>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</si>
  <si>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</si>
  <si>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</si>
  <si>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</si>
  <si>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</si>
  <si>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</si>
  <si>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</si>
  <si>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</si>
  <si>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</si>
  <si>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</si>
  <si>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</si>
  <si>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</si>
  <si>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</si>
  <si>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</si>
  <si>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</si>
  <si>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</si>
  <si>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</si>
  <si>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</si>
  <si>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</si>
  <si>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</si>
  <si>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</si>
  <si>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</si>
  <si>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</si>
  <si>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</si>
  <si>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</si>
  <si>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</si>
  <si>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</si>
  <si>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</si>
  <si>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</si>
  <si>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</si>
  <si>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</si>
  <si>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</si>
  <si>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</si>
  <si>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</si>
  <si>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</si>
  <si>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</si>
  <si>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</si>
  <si>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</si>
  <si>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</si>
  <si>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</si>
  <si>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</si>
  <si>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</si>
  <si>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</si>
  <si>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</si>
  <si>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</si>
  <si>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</si>
  <si>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</si>
  <si>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</si>
  <si>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</si>
  <si>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</si>
  <si>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</si>
  <si>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</si>
  <si>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</si>
  <si>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</si>
  <si>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</si>
  <si>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</si>
  <si>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</si>
  <si>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</si>
  <si>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</si>
  <si>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</si>
  <si>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</si>
  <si>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</si>
  <si>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</si>
  <si>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</si>
  <si>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</si>
  <si>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</si>
  <si>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</si>
  <si>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</si>
  <si>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</si>
  <si>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</si>
  <si>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</si>
  <si>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</si>
  <si>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</si>
  <si>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</si>
  <si>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</si>
  <si>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</si>
  <si>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</si>
  <si>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</si>
  <si>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</si>
  <si>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</si>
  <si>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</si>
  <si>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</si>
  <si>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</si>
  <si>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</si>
  <si>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</si>
  <si>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</si>
  <si>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</si>
  <si>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</si>
  <si>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</si>
  <si>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</si>
  <si>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</si>
  <si>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</si>
  <si>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</si>
  <si>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</si>
  <si>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</si>
  <si>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</si>
  <si>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</si>
  <si>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</si>
  <si>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</si>
  <si>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</si>
  <si>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</si>
  <si>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</si>
  <si>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</si>
  <si>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</si>
  <si>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</si>
  <si>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</si>
  <si>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</si>
  <si>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</si>
  <si>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</si>
  <si>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</si>
  <si>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</si>
  <si>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</si>
  <si>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</si>
  <si>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</si>
  <si>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</si>
  <si>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</si>
  <si>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</si>
  <si>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</si>
  <si>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</si>
  <si>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</si>
  <si>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</si>
  <si>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</si>
  <si>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</si>
  <si>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</si>
  <si>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</si>
  <si>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</si>
  <si>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</si>
  <si>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</si>
  <si>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</si>
  <si>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</si>
  <si>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</si>
  <si>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</si>
  <si>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</si>
  <si>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</si>
  <si>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</si>
  <si>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</si>
  <si>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</si>
  <si>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</si>
  <si>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</si>
  <si>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</si>
  <si>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</si>
  <si>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</si>
  <si>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</si>
  <si>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</si>
  <si>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</si>
  <si>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</si>
  <si>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</si>
  <si>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</si>
  <si>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</si>
  <si>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</si>
  <si>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</si>
  <si>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</si>
  <si>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</si>
  <si>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</si>
  <si>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</si>
  <si>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</si>
  <si>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</si>
  <si>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</si>
  <si>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</si>
  <si>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</si>
  <si>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</si>
  <si>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</si>
  <si>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</si>
  <si>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</si>
  <si>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</si>
  <si>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</si>
  <si>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</si>
  <si>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</si>
  <si>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</si>
  <si>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</si>
  <si>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</si>
  <si>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</si>
  <si>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</si>
  <si>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</si>
  <si>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</si>
  <si>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</si>
  <si>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</si>
  <si>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</si>
  <si>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</si>
  <si>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</si>
  <si>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</si>
  <si>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</si>
  <si>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</si>
  <si>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</si>
  <si>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</si>
  <si>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</si>
  <si>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</si>
  <si>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</si>
  <si>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</si>
  <si>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</si>
  <si>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</si>
  <si>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</si>
  <si>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</si>
  <si>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</si>
  <si>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</si>
  <si>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</si>
  <si>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</si>
  <si>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</si>
  <si>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</si>
  <si>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</si>
  <si>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</si>
  <si>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</si>
  <si>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</si>
  <si>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</si>
  <si>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</si>
  <si>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</si>
  <si>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</si>
  <si>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</si>
  <si>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</si>
  <si>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</si>
  <si>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</si>
  <si>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</si>
  <si>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</si>
  <si>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</si>
  <si>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</si>
  <si>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</si>
  <si>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</si>
  <si>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</si>
  <si>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</si>
  <si>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</si>
  <si>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</si>
  <si>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</si>
  <si>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</si>
  <si>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</si>
  <si>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</si>
  <si>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</si>
  <si>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</si>
  <si>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</si>
  <si>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</si>
  <si>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</si>
  <si>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</si>
  <si>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</si>
  <si>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</si>
  <si>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</si>
  <si>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</si>
  <si>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</si>
  <si>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</si>
  <si>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</si>
  <si>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</si>
  <si>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</si>
  <si>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</si>
  <si>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</si>
  <si>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</si>
  <si>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</si>
  <si>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</si>
  <si>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</si>
  <si>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</si>
  <si>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</si>
  <si>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</si>
  <si>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</si>
  <si>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</si>
  <si>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</si>
  <si>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</si>
  <si>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</si>
  <si>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</si>
  <si>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</si>
  <si>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</si>
  <si>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</si>
  <si>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</si>
  <si>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</si>
  <si>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</si>
  <si>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</si>
  <si>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</si>
  <si>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</si>
  <si>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</si>
  <si>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</si>
  <si>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</si>
  <si>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</si>
  <si>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</si>
  <si>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</si>
  <si>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</si>
  <si>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</si>
  <si>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</si>
  <si>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</si>
  <si>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</si>
  <si>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</si>
  <si>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</si>
  <si>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</si>
  <si>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</si>
  <si>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</si>
  <si>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</si>
  <si>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</si>
  <si>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</si>
  <si>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</si>
  <si>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</si>
  <si>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</si>
  <si>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</si>
  <si>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</si>
  <si>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</si>
  <si>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</si>
  <si>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</si>
  <si>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</si>
  <si>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</si>
  <si>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</si>
  <si>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</si>
  <si>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</si>
  <si>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</si>
  <si>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</si>
  <si>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</si>
  <si>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</si>
  <si>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</si>
  <si>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</si>
  <si>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</si>
  <si>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</si>
  <si>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</si>
  <si>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</si>
  <si>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</si>
  <si>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</si>
  <si>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</si>
  <si>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</si>
  <si>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</si>
  <si>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</si>
  <si>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</si>
  <si>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</si>
  <si>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</si>
  <si>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</si>
  <si>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</si>
  <si>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</si>
  <si>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</si>
  <si>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</si>
  <si>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</si>
  <si>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</si>
  <si>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</si>
  <si>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</si>
  <si>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</si>
  <si>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</si>
  <si>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</si>
  <si>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</si>
  <si>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</si>
  <si>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</si>
  <si>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</si>
  <si>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</si>
  <si>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</si>
  <si>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</si>
  <si>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</si>
  <si>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</si>
  <si>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</si>
  <si>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</si>
  <si>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</si>
  <si>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</si>
  <si>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</si>
  <si>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</si>
  <si>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</si>
  <si>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</si>
  <si>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</si>
  <si>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</si>
  <si>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</si>
  <si>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</si>
  <si>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</si>
  <si>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</si>
  <si>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</si>
  <si>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</si>
  <si>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</si>
  <si>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</si>
  <si>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</si>
  <si>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</si>
  <si>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</si>
  <si>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</si>
  <si>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</si>
  <si>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</si>
  <si>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</si>
  <si>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</si>
  <si>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</si>
  <si>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</si>
  <si>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</si>
  <si>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</si>
  <si>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</si>
  <si>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</si>
  <si>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</si>
  <si>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</si>
  <si>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</si>
  <si>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</si>
  <si>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</si>
  <si>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</si>
  <si>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</si>
  <si>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</si>
  <si>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</si>
  <si>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</si>
  <si>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</si>
  <si>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</si>
  <si>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</si>
  <si>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</si>
  <si>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</si>
  <si>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</si>
  <si>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</si>
  <si>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</si>
  <si>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</si>
  <si>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</si>
  <si>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</si>
  <si>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</si>
  <si>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</si>
  <si>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</si>
  <si>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</si>
  <si>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</si>
  <si>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</si>
  <si>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</si>
  <si>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</si>
  <si>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</si>
  <si>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</si>
  <si>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</si>
  <si>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</si>
  <si>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</si>
  <si>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</si>
  <si>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</si>
  <si>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</si>
  <si>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</si>
  <si>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</si>
  <si>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</si>
  <si>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</si>
  <si>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</si>
  <si>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</si>
  <si>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</si>
  <si>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</si>
  <si>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</si>
  <si>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</si>
  <si>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</si>
  <si>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</si>
  <si>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</si>
  <si>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</si>
  <si>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</si>
  <si>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</si>
  <si>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</si>
  <si>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</si>
  <si>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</si>
  <si>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</si>
  <si>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</si>
  <si>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</si>
  <si>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</si>
  <si>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</si>
  <si>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</si>
  <si>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</si>
  <si>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</si>
  <si>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</si>
  <si>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</si>
  <si>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</si>
  <si>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</si>
  <si>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</si>
  <si>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</si>
  <si>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</si>
  <si>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</si>
  <si>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</si>
  <si>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</si>
  <si>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</si>
  <si>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</si>
  <si>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</si>
  <si>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</si>
  <si>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</si>
  <si>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</si>
  <si>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</si>
  <si>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</si>
  <si>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</si>
  <si>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</si>
  <si>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</si>
  <si>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</si>
  <si>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</si>
  <si>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</si>
  <si>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</si>
  <si>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</si>
  <si>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</si>
  <si>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</si>
  <si>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</si>
  <si>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</si>
  <si>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</si>
  <si>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</si>
  <si>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</si>
  <si>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</si>
  <si>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</si>
  <si>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</si>
  <si>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</si>
  <si>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</si>
  <si>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</si>
  <si>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</si>
  <si>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</si>
  <si>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</si>
  <si>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</si>
  <si>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</si>
  <si>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</si>
  <si>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</si>
  <si>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</si>
  <si>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</si>
  <si>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</si>
  <si>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</si>
  <si>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</si>
  <si>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</si>
  <si>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</si>
  <si>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</si>
  <si>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</si>
  <si>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</si>
  <si>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</si>
  <si>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</si>
  <si>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</si>
  <si>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</si>
  <si>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</si>
  <si>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</si>
  <si>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</si>
  <si>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</si>
  <si>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</si>
  <si>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</si>
  <si>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</si>
  <si>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</si>
  <si>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</si>
  <si>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</si>
  <si>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</si>
  <si>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</si>
  <si>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</si>
  <si>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</si>
  <si>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</si>
  <si>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</si>
  <si>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</si>
  <si>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</si>
  <si>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</si>
  <si>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</si>
  <si>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</si>
  <si>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</si>
  <si>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</si>
  <si>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</si>
  <si>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</si>
  <si>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</si>
  <si>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</si>
  <si>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</si>
  <si>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</si>
  <si>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</si>
  <si>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</si>
  <si>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</si>
  <si>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</si>
  <si>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</si>
  <si>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</si>
  <si>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</si>
  <si>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</si>
  <si>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</si>
  <si>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</si>
  <si>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</si>
  <si>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</si>
  <si>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</si>
  <si>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</si>
  <si>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</si>
  <si>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</si>
  <si>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</si>
  <si>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</si>
  <si>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</si>
  <si>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</si>
  <si>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</si>
  <si>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</si>
  <si>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</si>
  <si>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</si>
  <si>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</si>
  <si>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</si>
  <si>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</si>
  <si>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</si>
  <si>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</si>
  <si>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</si>
  <si>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</si>
  <si>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</si>
  <si>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</si>
  <si>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</si>
  <si>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</si>
  <si>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</si>
  <si>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</si>
  <si>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</si>
  <si>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</si>
  <si>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</si>
  <si>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</si>
  <si>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</si>
  <si>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</si>
  <si>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</si>
  <si>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</si>
  <si>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</si>
  <si>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</si>
  <si>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</si>
  <si>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</si>
  <si>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</si>
  <si>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</si>
  <si>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</si>
  <si>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</si>
  <si>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</si>
  <si>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</si>
  <si>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</si>
  <si>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</si>
  <si>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</si>
  <si>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</si>
  <si>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</si>
  <si>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</si>
  <si>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</si>
  <si>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</si>
  <si>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</si>
  <si>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</si>
  <si>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</si>
  <si>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</si>
  <si>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</si>
  <si>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</si>
  <si>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</si>
  <si>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</si>
  <si>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</si>
  <si>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</si>
  <si>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</si>
  <si>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</si>
  <si>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</si>
  <si>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</si>
  <si>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</si>
  <si>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</si>
  <si>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</si>
  <si>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</si>
  <si>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</si>
  <si>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</si>
  <si>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</si>
  <si>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</si>
  <si>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</si>
  <si>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</si>
  <si>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</si>
  <si>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</si>
  <si>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</si>
  <si>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</si>
  <si>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</si>
  <si>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</si>
  <si>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</si>
  <si>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</si>
  <si>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</si>
  <si>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</si>
  <si>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</si>
  <si>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</si>
  <si>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</si>
  <si>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</si>
  <si>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</si>
  <si>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</si>
  <si>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</si>
  <si>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</si>
  <si>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</si>
  <si>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</si>
  <si>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</si>
  <si>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</si>
  <si>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</si>
  <si>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</si>
  <si>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</si>
  <si>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</si>
  <si>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</si>
  <si>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</si>
  <si>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</si>
  <si>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</si>
  <si>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</si>
  <si>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</si>
  <si>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</si>
  <si>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</si>
  <si>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</si>
  <si>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</si>
  <si>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</si>
  <si>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</si>
  <si>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</si>
  <si>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</si>
  <si>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</si>
  <si>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</si>
  <si>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</si>
  <si>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</si>
  <si>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</si>
  <si>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</si>
  <si>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</si>
  <si>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</si>
  <si>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</si>
  <si>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</si>
  <si>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</si>
  <si>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</si>
  <si>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</si>
  <si>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</si>
  <si>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</si>
  <si>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</si>
  <si>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</si>
  <si>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</si>
  <si>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</si>
  <si>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</si>
  <si>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</si>
  <si>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</si>
  <si>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</si>
  <si>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</si>
  <si>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</si>
  <si>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</si>
  <si>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</si>
  <si>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</si>
  <si>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</si>
  <si>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</si>
  <si>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</si>
  <si>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</si>
  <si>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</si>
  <si>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</si>
  <si>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</si>
  <si>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</si>
  <si>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</si>
  <si>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</si>
  <si>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</si>
  <si>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</si>
  <si>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</si>
  <si>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</si>
  <si>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</si>
  <si>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</si>
  <si>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</si>
  <si>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</si>
  <si>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</si>
  <si>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</si>
  <si>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</si>
  <si>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</si>
  <si>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</si>
  <si>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</si>
  <si>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</si>
  <si>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</si>
  <si>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</si>
  <si>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</si>
  <si>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</si>
  <si>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</si>
  <si>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</si>
  <si>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</si>
  <si>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</si>
  <si>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</si>
  <si>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</si>
  <si>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</si>
  <si>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</si>
  <si>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</si>
  <si>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</si>
  <si>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</si>
  <si>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</si>
  <si>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</si>
  <si>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</si>
  <si>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</si>
  <si>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</si>
  <si>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</si>
  <si>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</si>
  <si>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</si>
  <si>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</si>
  <si>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</si>
  <si>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</si>
  <si>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</si>
  <si>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</si>
  <si>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</si>
  <si>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</si>
  <si>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</si>
  <si>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</si>
  <si>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</si>
  <si>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</si>
  <si>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</si>
  <si>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</si>
  <si>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</si>
  <si>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</si>
  <si>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</si>
  <si>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</si>
  <si>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</si>
  <si>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</si>
  <si>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</si>
  <si>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</si>
  <si>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</si>
  <si>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</si>
  <si>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</si>
  <si>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</si>
  <si>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</si>
  <si>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</si>
  <si>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</si>
  <si>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</si>
  <si>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</si>
  <si>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</si>
  <si>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</si>
  <si>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</si>
  <si>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</si>
  <si>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</si>
  <si>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</si>
  <si>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</si>
  <si>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</si>
  <si>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</si>
  <si>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</si>
  <si>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</si>
  <si>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</si>
  <si>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</si>
  <si>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</si>
  <si>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</si>
  <si>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</si>
  <si>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</si>
  <si>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</si>
  <si>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</si>
  <si>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</si>
  <si>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</si>
  <si>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</si>
  <si>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</si>
  <si>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</si>
  <si>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</si>
  <si>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</si>
  <si>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</si>
  <si>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</si>
  <si>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</si>
  <si>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</si>
  <si>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</si>
  <si>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</si>
  <si>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</si>
  <si>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</si>
  <si>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</si>
  <si>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</si>
  <si>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</si>
  <si>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</si>
  <si>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</si>
  <si>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</si>
  <si>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</si>
  <si>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</si>
  <si>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</si>
  <si>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</si>
  <si>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</si>
  <si>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</si>
  <si>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</si>
  <si>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</si>
  <si>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</si>
  <si>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</si>
  <si>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</si>
  <si>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</si>
  <si>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</si>
  <si>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</si>
  <si>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</si>
  <si>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</si>
  <si>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</si>
  <si>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</si>
  <si>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</si>
  <si>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</si>
  <si>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</si>
  <si>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</si>
  <si>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</si>
  <si>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</si>
  <si>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</si>
  <si>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</si>
  <si>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</si>
  <si>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</si>
  <si>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</si>
  <si>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</si>
  <si>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</si>
  <si>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</si>
  <si>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</si>
  <si>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</si>
  <si>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</si>
  <si>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</si>
  <si>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</si>
  <si>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</si>
  <si>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</si>
  <si>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</si>
  <si>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</si>
  <si>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</si>
  <si>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</si>
  <si>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</si>
  <si>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</si>
  <si>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</si>
  <si>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</si>
  <si>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</si>
  <si>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</si>
  <si>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</si>
  <si>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</si>
  <si>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</si>
  <si>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</si>
  <si>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</si>
  <si>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</si>
  <si>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</si>
  <si>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</si>
  <si>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</si>
  <si>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</si>
  <si>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</si>
  <si>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</si>
  <si>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</si>
  <si>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</si>
  <si>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</si>
  <si>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</si>
  <si>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</si>
  <si>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</si>
  <si>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</si>
  <si>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</si>
  <si>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</si>
  <si>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</si>
  <si>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</si>
  <si>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</si>
  <si>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</si>
  <si>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</si>
  <si>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</si>
  <si>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</si>
  <si>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</si>
  <si>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</si>
  <si>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</si>
  <si>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</si>
  <si>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</si>
  <si>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</si>
  <si>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</si>
  <si>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</si>
  <si>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</si>
  <si>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</si>
  <si>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</si>
  <si>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</si>
  <si>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</si>
  <si>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</si>
  <si>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</si>
  <si>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</si>
  <si>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</si>
  <si>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</si>
  <si>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</si>
  <si>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</si>
  <si>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</si>
  <si>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</si>
  <si>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</si>
  <si>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</si>
  <si>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</si>
  <si>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</si>
  <si>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</si>
  <si>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</si>
  <si>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</si>
  <si>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</si>
  <si>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</si>
  <si>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</si>
  <si>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</si>
  <si>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</si>
  <si>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</si>
  <si>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</si>
  <si>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</si>
  <si>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</si>
  <si>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</si>
  <si>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</si>
  <si>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</si>
  <si>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</si>
  <si>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</si>
  <si>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</si>
  <si>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</si>
  <si>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</si>
  <si>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</si>
  <si>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</si>
  <si>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</si>
  <si>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</si>
  <si>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</si>
  <si>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</si>
  <si>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</si>
  <si>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</si>
  <si>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</si>
  <si>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</si>
  <si>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</si>
  <si>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</si>
  <si>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</si>
  <si>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</si>
  <si>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</si>
  <si>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</si>
  <si>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</si>
  <si>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</si>
  <si>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</si>
  <si>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</si>
  <si>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</si>
  <si>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</si>
  <si>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</si>
  <si>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</si>
  <si>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</si>
  <si>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</si>
  <si>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</si>
  <si>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</si>
  <si>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</si>
  <si>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</si>
  <si>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</si>
  <si>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</si>
  <si>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</si>
  <si>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</si>
  <si>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</si>
  <si>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</si>
  <si>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</si>
  <si>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</si>
  <si>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</si>
  <si>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</si>
  <si>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</si>
  <si>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</si>
  <si>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</si>
  <si>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</si>
  <si>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</si>
  <si>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</si>
  <si>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</si>
  <si>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</si>
  <si>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</si>
  <si>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</si>
  <si>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</si>
  <si>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</si>
  <si>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</si>
  <si>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</si>
  <si>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</si>
  <si>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</si>
  <si>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</si>
  <si>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</si>
  <si>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</si>
  <si>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</si>
  <si>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</si>
  <si>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</si>
  <si>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</si>
  <si>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</si>
  <si>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</si>
  <si>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</si>
  <si>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</si>
  <si>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</si>
  <si>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</si>
  <si>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</si>
  <si>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</si>
  <si>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</si>
  <si>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</si>
  <si>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</si>
  <si>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</si>
  <si>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</si>
  <si>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</si>
  <si>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</si>
  <si>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</si>
  <si>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</si>
  <si>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</si>
  <si>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</si>
  <si>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</si>
  <si>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</si>
  <si>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</si>
  <si>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</si>
  <si>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</si>
  <si>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</si>
  <si>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</si>
  <si>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</si>
  <si>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</si>
  <si>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</si>
  <si>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</si>
  <si>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</si>
  <si>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</si>
  <si>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</si>
  <si>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</si>
  <si>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</si>
  <si>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</si>
  <si>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</si>
  <si>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</si>
  <si>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</si>
  <si>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</si>
  <si>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</si>
  <si>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</si>
  <si>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</si>
  <si>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</si>
  <si>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</si>
  <si>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</si>
  <si>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</si>
  <si>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</si>
  <si>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</si>
  <si>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</si>
  <si>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</si>
  <si>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</si>
  <si>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</si>
  <si>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</si>
  <si>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</si>
  <si>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</si>
  <si>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</si>
  <si>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</si>
  <si>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</si>
  <si>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</si>
  <si>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</si>
  <si>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</si>
  <si>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</si>
  <si>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</si>
  <si>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</si>
  <si>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</si>
  <si>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</si>
  <si>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</si>
  <si>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</si>
  <si>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</si>
  <si>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</si>
  <si>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</si>
  <si>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</si>
  <si>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</si>
  <si>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</si>
  <si>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</si>
  <si>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</si>
  <si>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</si>
  <si>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</si>
  <si>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</si>
  <si>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</si>
  <si>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</si>
  <si>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</si>
  <si>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</si>
  <si>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</si>
  <si>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</si>
  <si>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</si>
  <si>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</si>
  <si>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</si>
  <si>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</si>
  <si>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</si>
  <si>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</si>
  <si>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</si>
  <si>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</si>
  <si>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</si>
  <si>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</si>
  <si>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</si>
  <si>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</si>
  <si>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</si>
  <si>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</si>
  <si>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</si>
  <si>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</si>
  <si>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</si>
  <si>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</si>
  <si>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</si>
  <si>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</si>
  <si>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</si>
  <si>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</si>
  <si>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</si>
  <si>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</si>
  <si>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</si>
  <si>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</si>
  <si>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</si>
  <si>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</si>
  <si>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</si>
  <si>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</si>
  <si>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</si>
  <si>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</si>
  <si>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</si>
  <si>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</si>
  <si>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</si>
  <si>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</si>
  <si>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</si>
  <si>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</si>
  <si>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</si>
  <si>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</si>
  <si>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</si>
  <si>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</si>
  <si>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</si>
  <si>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</si>
  <si>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</si>
  <si>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</si>
  <si>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</si>
  <si>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</si>
  <si>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</si>
  <si>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</si>
  <si>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</si>
  <si>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</si>
  <si>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</si>
  <si>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</si>
  <si>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</si>
  <si>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</si>
  <si>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</si>
  <si>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</si>
  <si>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</si>
  <si>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</si>
  <si>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</si>
  <si>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</si>
  <si>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</si>
  <si>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</si>
  <si>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</si>
  <si>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</si>
  <si>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</si>
  <si>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</si>
  <si>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</si>
  <si>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</si>
  <si>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</si>
  <si>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</si>
  <si>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</si>
  <si>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</si>
  <si>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</si>
  <si>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</si>
  <si>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</si>
  <si>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</si>
  <si>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</si>
  <si>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</si>
  <si>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</si>
  <si>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</si>
  <si>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</si>
  <si>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</si>
  <si>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</si>
  <si>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</si>
  <si>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</si>
  <si>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</si>
  <si>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</si>
  <si>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</si>
  <si>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</si>
  <si>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</si>
  <si>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</si>
  <si>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</si>
  <si>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</si>
  <si>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</si>
  <si>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</si>
  <si>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</si>
  <si>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</si>
  <si>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</si>
  <si>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</si>
  <si>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</si>
  <si>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</si>
  <si>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</si>
  <si>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</si>
  <si>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</si>
  <si>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</si>
  <si>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</si>
  <si>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</si>
  <si>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</si>
  <si>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</si>
  <si>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</si>
  <si>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</si>
  <si>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</si>
  <si>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</si>
  <si>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</si>
  <si>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</si>
  <si>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</si>
  <si>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</si>
  <si>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</si>
  <si>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</si>
  <si>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</si>
  <si>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</si>
  <si>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</si>
  <si>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</si>
  <si>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</si>
  <si>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</si>
  <si>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</si>
  <si>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</si>
  <si>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</si>
  <si>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</si>
  <si>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</si>
  <si>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</si>
  <si>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</si>
  <si>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</si>
  <si>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</si>
  <si>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</si>
  <si>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</si>
  <si>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</si>
  <si>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</si>
  <si>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</si>
  <si>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</si>
  <si>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</si>
  <si>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</si>
  <si>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</si>
  <si>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</si>
  <si>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</si>
  <si>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</si>
  <si>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</si>
  <si>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</si>
  <si>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</si>
  <si>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</si>
  <si>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</si>
  <si>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</si>
  <si>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</si>
  <si>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</si>
  <si>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</si>
  <si>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</si>
  <si>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</si>
  <si>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</si>
  <si>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</si>
  <si>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</si>
  <si>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</si>
  <si>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</si>
  <si>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</si>
  <si>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</si>
  <si>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</si>
  <si>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</si>
  <si>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</si>
  <si>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</si>
  <si>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</si>
  <si>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</si>
  <si>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</si>
  <si>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</si>
  <si>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</si>
  <si>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</si>
  <si>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</si>
  <si>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</si>
  <si>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</si>
  <si>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</si>
  <si>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</si>
  <si>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</si>
  <si>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</si>
  <si>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</si>
  <si>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</si>
  <si>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</si>
  <si>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</si>
  <si>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</si>
  <si>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</si>
  <si>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</si>
  <si>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</si>
  <si>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</si>
  <si>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</si>
  <si>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</si>
  <si>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</si>
  <si>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</si>
  <si>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</si>
  <si>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</si>
  <si>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</si>
  <si>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</si>
  <si>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</si>
  <si>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</si>
  <si>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</si>
  <si>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</si>
  <si>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</si>
  <si>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</si>
  <si>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</si>
  <si>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</si>
  <si>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</si>
  <si>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</si>
  <si>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</si>
  <si>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</si>
  <si>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</si>
  <si>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</si>
  <si>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</si>
  <si>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</si>
  <si>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</si>
  <si>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</si>
  <si>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</si>
  <si>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</si>
  <si>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</si>
  <si>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</si>
  <si>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</si>
  <si>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</si>
  <si>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</si>
  <si>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</si>
  <si>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</si>
  <si>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</si>
  <si>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</si>
  <si>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</si>
  <si>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</si>
  <si>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</si>
  <si>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</si>
  <si>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</si>
  <si>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</si>
  <si>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</si>
  <si>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</si>
  <si>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</si>
  <si>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</si>
  <si>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</si>
  <si>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</si>
  <si>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</si>
  <si>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</si>
  <si>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</si>
  <si>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</si>
  <si>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</si>
  <si>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</si>
  <si>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</si>
  <si>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</si>
  <si>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</si>
  <si>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</si>
  <si>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</si>
  <si>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</si>
  <si>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</si>
  <si>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</si>
  <si>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</si>
  <si>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</si>
  <si>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</si>
  <si>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</si>
  <si>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</si>
  <si>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</si>
  <si>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</si>
  <si>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</si>
  <si>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</si>
  <si>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</si>
  <si>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</si>
  <si>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</si>
  <si>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</si>
  <si>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</si>
  <si>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</si>
  <si>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</si>
  <si>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</si>
  <si>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</si>
  <si>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</si>
  <si>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</si>
  <si>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</si>
  <si>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</si>
  <si>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</si>
  <si>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</si>
  <si>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</si>
  <si>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</si>
  <si>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</si>
  <si>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</si>
  <si>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</si>
  <si>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</si>
  <si>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</si>
  <si>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</si>
  <si>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</si>
  <si>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</si>
  <si>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</si>
  <si>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</si>
  <si>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</si>
  <si>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</si>
  <si>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</si>
  <si>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</si>
  <si>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</si>
  <si>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</si>
  <si>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</si>
  <si>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</si>
  <si>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</si>
  <si>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</si>
  <si>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</si>
  <si>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</si>
  <si>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</si>
  <si>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</si>
  <si>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</si>
  <si>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</si>
  <si>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</si>
  <si>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</si>
  <si>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</si>
  <si>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</si>
  <si>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</si>
  <si>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</si>
  <si>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</si>
  <si>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</si>
  <si>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</si>
  <si>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</si>
  <si>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</si>
  <si>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</si>
  <si>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</si>
  <si>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</si>
  <si>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</si>
  <si>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</si>
  <si>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</si>
  <si>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</si>
  <si>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</si>
  <si>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</si>
  <si>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</si>
  <si>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</si>
  <si>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</si>
  <si>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</si>
  <si>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</si>
  <si>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</si>
  <si>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</si>
  <si>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</si>
  <si>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</si>
  <si>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</si>
  <si>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</si>
  <si>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</si>
  <si>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</si>
  <si>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</si>
  <si>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</si>
  <si>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</si>
  <si>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</si>
  <si>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</si>
  <si>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</si>
  <si>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</si>
  <si>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</si>
  <si>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</si>
  <si>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</si>
  <si>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</si>
  <si>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</si>
  <si>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</si>
  <si>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</si>
  <si>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</si>
  <si>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</si>
  <si>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</si>
  <si>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</si>
  <si>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</si>
  <si>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</si>
  <si>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</si>
  <si>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</si>
  <si>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</si>
  <si>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</si>
  <si>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</si>
  <si>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</si>
  <si>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</si>
  <si>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</si>
  <si>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</si>
  <si>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</si>
  <si>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</si>
  <si>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</si>
  <si>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</si>
  <si>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</si>
  <si>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</si>
  <si>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</si>
  <si>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</si>
  <si>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</si>
  <si>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</si>
  <si>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</si>
  <si>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</si>
  <si>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</si>
  <si>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</si>
  <si>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</si>
  <si>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</si>
  <si>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</si>
  <si>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</si>
  <si>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</si>
  <si>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</si>
  <si>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</si>
  <si>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</si>
  <si>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</si>
  <si>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</si>
  <si>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</si>
  <si>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</si>
  <si>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</si>
  <si>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</si>
  <si>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</si>
  <si>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</si>
  <si>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</si>
  <si>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</si>
  <si>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</si>
  <si>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</si>
  <si>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</si>
  <si>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</si>
  <si>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</si>
  <si>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</si>
  <si>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</si>
  <si>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</si>
  <si>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</si>
  <si>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</si>
  <si>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</si>
  <si>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</si>
  <si>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</si>
  <si>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</si>
  <si>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</si>
  <si>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</si>
  <si>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</si>
  <si>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</si>
  <si>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</si>
  <si>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</si>
  <si>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</si>
  <si>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</si>
  <si>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</si>
  <si>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</si>
  <si>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</si>
  <si>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</si>
  <si>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</si>
  <si>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</si>
  <si>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</si>
  <si>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</si>
  <si>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</si>
  <si>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</si>
  <si>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</si>
  <si>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</si>
  <si>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</si>
  <si>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</si>
  <si>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</si>
  <si>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</si>
  <si>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</si>
  <si>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</si>
  <si>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</si>
  <si>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</si>
  <si>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</si>
  <si>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</si>
  <si>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</si>
  <si>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</si>
  <si>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</si>
  <si>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</si>
  <si>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</si>
  <si>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</si>
  <si>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</si>
  <si>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</si>
  <si>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</si>
  <si>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</si>
  <si>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</si>
  <si>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</si>
  <si>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</si>
  <si>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</si>
  <si>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</si>
  <si>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</si>
  <si>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</si>
  <si>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</si>
  <si>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</si>
  <si>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</si>
  <si>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</si>
  <si>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</si>
  <si>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</si>
  <si>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</si>
  <si>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</si>
  <si>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</si>
  <si>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</si>
  <si>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</si>
  <si>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</si>
  <si>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</si>
  <si>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</si>
  <si>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</si>
  <si>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</si>
  <si>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</si>
  <si>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</si>
  <si>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</si>
  <si>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</si>
  <si>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</si>
  <si>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</si>
  <si>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</si>
  <si>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</si>
  <si>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</si>
  <si>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</si>
  <si>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</si>
  <si>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</si>
  <si>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</si>
  <si>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</si>
  <si>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</si>
  <si>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</si>
  <si>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</si>
  <si>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</si>
  <si>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</si>
  <si>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</si>
  <si>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</si>
  <si>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</si>
  <si>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</si>
  <si>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</si>
  <si>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</si>
  <si>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</si>
  <si>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</si>
  <si>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</si>
  <si>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</si>
  <si>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</si>
  <si>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</si>
  <si>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</si>
  <si>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</si>
  <si>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</si>
  <si>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</si>
  <si>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</si>
  <si>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</si>
  <si>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</si>
  <si>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</si>
  <si>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</si>
  <si>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</si>
  <si>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</si>
  <si>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</si>
  <si>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</si>
  <si>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</si>
  <si>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</si>
  <si>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</si>
  <si>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</si>
  <si>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</si>
  <si>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</si>
  <si>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</si>
  <si>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</si>
  <si>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</si>
  <si>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</si>
  <si>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</si>
  <si>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</si>
  <si>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</si>
  <si>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</si>
  <si>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</si>
  <si>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</si>
  <si>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</si>
  <si>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</si>
  <si>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</si>
  <si>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</si>
  <si>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</si>
  <si>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</si>
  <si>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</si>
  <si>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</si>
  <si>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</si>
  <si>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</si>
  <si>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</si>
  <si>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</si>
  <si>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</si>
  <si>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</si>
  <si>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</si>
  <si>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</si>
  <si>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</si>
  <si>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</si>
  <si>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</si>
  <si>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</si>
  <si>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</si>
  <si>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</si>
  <si>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</si>
  <si>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</si>
  <si>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</si>
  <si>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</si>
  <si>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</si>
  <si>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</si>
  <si>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</si>
  <si>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</si>
  <si>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</si>
  <si>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</si>
  <si>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</si>
  <si>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</si>
  <si>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</si>
  <si>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</si>
  <si>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</si>
  <si>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</si>
  <si>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</si>
  <si>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</si>
  <si>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</si>
  <si>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</si>
  <si>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</si>
  <si>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</si>
  <si>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</si>
  <si>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</si>
  <si>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</si>
  <si>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</si>
  <si>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</si>
  <si>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</si>
  <si>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</si>
  <si>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</si>
  <si>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</si>
  <si>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</si>
  <si>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</si>
  <si>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</si>
  <si>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</si>
  <si>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</si>
  <si>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</si>
  <si>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</si>
  <si>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</si>
  <si>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</si>
  <si>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</si>
  <si>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</si>
  <si>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</si>
  <si>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</si>
  <si>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</si>
  <si>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</si>
  <si>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</si>
  <si>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</si>
  <si>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</si>
  <si>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</si>
  <si>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</si>
  <si>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</si>
  <si>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</si>
  <si>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</si>
  <si>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</si>
  <si>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</si>
  <si>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</si>
  <si>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</si>
  <si>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</si>
  <si>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</si>
  <si>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</si>
  <si>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</si>
  <si>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</si>
  <si>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</si>
  <si>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</si>
  <si>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</si>
  <si>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</si>
  <si>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</si>
  <si>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</si>
  <si>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</si>
  <si>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</si>
  <si>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</si>
  <si>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</si>
  <si>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</si>
  <si>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</si>
  <si>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</si>
  <si>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</si>
  <si>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</si>
  <si>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</si>
  <si>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</si>
  <si>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</si>
  <si>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</si>
  <si>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</si>
  <si>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</si>
  <si>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</si>
  <si>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</si>
  <si>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</si>
  <si>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</si>
  <si>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</si>
  <si>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</si>
  <si>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</si>
  <si>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</si>
  <si>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</si>
  <si>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</si>
  <si>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</si>
  <si>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</si>
  <si>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</si>
  <si>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</si>
  <si>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</si>
  <si>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</si>
  <si>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</si>
  <si>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</si>
  <si>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</si>
  <si>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</si>
  <si>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</si>
  <si>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</si>
  <si>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</si>
  <si>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</si>
  <si>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</si>
  <si>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</si>
  <si>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</si>
  <si>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</si>
  <si>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</si>
  <si>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</si>
  <si>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</si>
  <si>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</si>
  <si>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</si>
  <si>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</si>
  <si>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</si>
  <si>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</si>
  <si>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</si>
  <si>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</si>
  <si>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</si>
  <si>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</si>
  <si>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</si>
  <si>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</si>
  <si>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</si>
  <si>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</si>
  <si>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</si>
  <si>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</si>
  <si>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</si>
  <si>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</si>
  <si>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</si>
  <si>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</si>
  <si>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</si>
  <si>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</si>
  <si>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</si>
  <si>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</si>
  <si>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</si>
  <si>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</si>
  <si>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</si>
  <si>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</si>
  <si>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</si>
  <si>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</si>
  <si>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</si>
  <si>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</si>
  <si>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</si>
  <si>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</si>
  <si>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</si>
  <si>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</si>
  <si>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</si>
  <si>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</si>
  <si>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</si>
  <si>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</si>
  <si>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</si>
  <si>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</si>
  <si>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</si>
  <si>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</si>
  <si>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</si>
  <si>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</si>
  <si>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</si>
  <si>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</si>
  <si>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</si>
  <si>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</si>
  <si>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</si>
  <si>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</si>
  <si>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</si>
  <si>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</si>
  <si>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</si>
  <si>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</si>
  <si>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</si>
  <si>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</si>
  <si>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</si>
  <si>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</si>
  <si>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</si>
  <si>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</si>
  <si>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</si>
  <si>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</si>
  <si>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</si>
  <si>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</si>
  <si>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</si>
  <si>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</si>
  <si>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</si>
  <si>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</si>
  <si>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</si>
  <si>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</si>
  <si>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</si>
  <si>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</si>
  <si>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</si>
  <si>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</si>
  <si>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</si>
  <si>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</si>
  <si>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</si>
  <si>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</si>
  <si>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</si>
  <si>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</si>
  <si>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</si>
  <si>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</si>
  <si>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</si>
  <si>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</si>
  <si>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</si>
  <si>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</si>
  <si>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</si>
  <si>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</si>
  <si>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</si>
  <si>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</si>
  <si>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</si>
  <si>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</si>
  <si>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</si>
  <si>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</si>
  <si>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</si>
  <si>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</si>
  <si>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</si>
  <si>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</si>
  <si>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</si>
  <si>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</si>
  <si>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</si>
  <si>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</si>
  <si>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</si>
  <si>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</si>
  <si>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</si>
  <si>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</si>
  <si>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</si>
  <si>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</si>
  <si>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</si>
  <si>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</si>
  <si>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</si>
  <si>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</si>
  <si>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</si>
  <si>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</si>
  <si>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</si>
  <si>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</si>
  <si>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</si>
  <si>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</si>
  <si>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</si>
  <si>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</si>
  <si>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</si>
  <si>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</si>
  <si>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</si>
  <si>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</si>
  <si>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</si>
  <si>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</si>
  <si>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</si>
  <si>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</si>
  <si>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</si>
  <si>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</si>
  <si>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</si>
  <si>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</si>
  <si>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</si>
  <si>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</si>
  <si>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</si>
  <si>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</si>
  <si>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</si>
  <si>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</si>
  <si>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</si>
  <si>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</si>
  <si>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</si>
  <si>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</si>
  <si>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</si>
  <si>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</si>
  <si>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</si>
  <si>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</si>
  <si>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</si>
  <si>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</si>
  <si>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</si>
  <si>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</si>
  <si>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</si>
  <si>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</si>
  <si>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</si>
  <si>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</si>
  <si>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</si>
  <si>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</si>
  <si>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</si>
  <si>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</si>
  <si>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</si>
  <si>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</si>
  <si>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</si>
  <si>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</si>
  <si>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</si>
  <si>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</si>
  <si>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</si>
  <si>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</si>
  <si>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</si>
  <si>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</si>
  <si>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</si>
  <si>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</si>
  <si>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</si>
  <si>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</si>
  <si>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</si>
  <si>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</si>
  <si>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</si>
  <si>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</si>
  <si>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</si>
  <si>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</si>
  <si>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</si>
  <si>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</si>
  <si>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</si>
  <si>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</si>
  <si>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</si>
  <si>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</si>
  <si>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</si>
  <si>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</si>
  <si>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</si>
  <si>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</si>
  <si>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</si>
  <si>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</si>
  <si>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</si>
  <si>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</si>
  <si>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</si>
  <si>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</si>
  <si>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</si>
  <si>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</si>
  <si>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</si>
  <si>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</si>
  <si>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</si>
  <si>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</si>
  <si>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</si>
  <si>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</si>
  <si>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</si>
  <si>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</si>
  <si>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</si>
  <si>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</si>
  <si>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</si>
  <si>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</si>
  <si>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</si>
  <si>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</si>
  <si>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</si>
  <si>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</si>
  <si>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</si>
  <si>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</si>
  <si>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</si>
  <si>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</si>
  <si>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</si>
  <si>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</si>
  <si>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</si>
  <si>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</si>
  <si>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</si>
  <si>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</si>
  <si>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</si>
  <si>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</si>
  <si>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</si>
  <si>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</si>
  <si>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</si>
  <si>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J. Crebassa</t>
  </si>
  <si>
    <t xml:space="preserve">conforme AFNOR T90-395 oct. 2003</t>
  </si>
  <si>
    <t xml:space="preserve">VAR</t>
  </si>
  <si>
    <t xml:space="preserve">Utelle</t>
  </si>
  <si>
    <t xml:space="preserve">06710110</t>
  </si>
  <si>
    <t xml:space="preserve">7178b - IBMR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</si>
  <si>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</si>
  <si>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</si>
  <si>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</si>
  <si>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</si>
  <si>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</si>
  <si>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</si>
  <si>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</si>
  <si>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</si>
  <si>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</si>
  <si>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</si>
  <si>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</si>
  <si>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</si>
  <si>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</si>
  <si>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</si>
  <si>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</si>
  <si>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</si>
  <si>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</si>
  <si>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</si>
  <si>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</si>
  <si>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</si>
  <si>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</si>
  <si>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</si>
  <si>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</si>
  <si>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</si>
  <si>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</si>
  <si>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</si>
  <si>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</si>
  <si>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</si>
  <si>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</si>
  <si>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</si>
  <si>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</si>
  <si>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</si>
  <si>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</si>
  <si>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</si>
  <si>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</si>
  <si>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</si>
  <si>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</si>
  <si>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</si>
  <si>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</si>
  <si>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</si>
  <si>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</si>
  <si>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</si>
  <si>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</si>
  <si>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</si>
  <si>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</si>
  <si>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</si>
  <si>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</si>
  <si>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</si>
  <si>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</si>
  <si>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(0,683 %)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</si>
  <si>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</si>
  <si>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</si>
  <si>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</si>
  <si>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</si>
  <si>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</si>
  <si>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</si>
  <si>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</si>
  <si>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</si>
  <si>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</si>
  <si>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</si>
  <si>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</si>
  <si>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</si>
  <si>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</si>
  <si>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</si>
  <si>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</si>
  <si>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</si>
  <si>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</si>
  <si>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</si>
  <si>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</si>
  <si>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Equisetum ramosissimum</t>
  </si>
  <si>
    <t xml:space="preserve">Possibilité Phormidium ou Oscillatoria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</si>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</sst>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41508</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10.2222222222222</v>
      </c>
      <c r="M5" s="323"/>
      <c r="N5" s="324" t="s">
        <v>228</v>
      </c>
      <c r="O5" s="325" t="n">
        <v>9.42857142857143</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85</v>
      </c>
      <c r="C7" s="337" t="n">
        <v>15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10.2</v>
      </c>
      <c r="O8" s="354" t="n">
        <f aca="false">IF(ISERROR(AVERAGE(J23:J82)),"      -",AVERAGE(J23:J82))</f>
        <v>1.6</v>
      </c>
      <c r="P8" s="355"/>
      <c r="Q8" s="280"/>
      <c r="R8" s="280"/>
      <c r="S8" s="280"/>
      <c r="T8" s="280"/>
      <c r="U8" s="280"/>
      <c r="V8" s="280"/>
      <c r="W8" s="292"/>
      <c r="X8" s="293"/>
    </row>
    <row r="9" customFormat="false" ht="13.5" hidden="false" customHeight="false" outlineLevel="0" collapsed="false">
      <c r="A9" s="313" t="s">
        <v>2635</v>
      </c>
      <c r="B9" s="356" t="n">
        <v>0.8</v>
      </c>
      <c r="C9" s="357" t="n">
        <v>0.1</v>
      </c>
      <c r="D9" s="358"/>
      <c r="E9" s="358"/>
      <c r="F9" s="359" t="n">
        <f aca="false">($B9*$B$7+$C9*$C$7)/100</f>
        <v>0.695</v>
      </c>
      <c r="G9" s="360"/>
      <c r="H9" s="361"/>
      <c r="I9" s="362"/>
      <c r="J9" s="363"/>
      <c r="K9" s="343"/>
      <c r="L9" s="364"/>
      <c r="M9" s="353" t="s">
        <v>2636</v>
      </c>
      <c r="N9" s="354" t="n">
        <f aca="false">IF(ISERROR(STDEVP(I23:I82)),"     -",STDEVP(I23:I82))</f>
        <v>2.4</v>
      </c>
      <c r="O9" s="354" t="n">
        <f aca="false">IF(ISERROR(STDEVP(J23:J82)),"      -",STDEVP(J23:J82))</f>
        <v>0.489897948556636</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6</v>
      </c>
      <c r="O10" s="376" t="n">
        <f aca="false">MIN(J23:J82)</f>
        <v>1</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13</v>
      </c>
      <c r="O11" s="376" t="n">
        <f aca="false">MAX(J23:J82)</f>
        <v>2</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7</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5</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3</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0.785</v>
      </c>
      <c r="C20" s="436" t="n">
        <f aca="false">SUM(C23:C82)</f>
        <v>0.105</v>
      </c>
      <c r="D20" s="437"/>
      <c r="E20" s="438" t="s">
        <v>2660</v>
      </c>
      <c r="F20" s="439" t="n">
        <f aca="false">($B20*$B$7+$C20*$C$7)/100</f>
        <v>0.683</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0.66725</v>
      </c>
      <c r="C21" s="449" t="n">
        <f aca="false">C20*C7/100</f>
        <v>0.01575</v>
      </c>
      <c r="D21" s="381" t="str">
        <f aca="false">IF(F21=0,"",IF((ABS(F21-F19))&gt;(0.2*F21),CONCATENATE(" rec. par taxa (",F21," %) supérieur à 20 % !"),""))</f>
        <v> rec. par taxa (0,683 %) supérieur à 20 % !</v>
      </c>
      <c r="E21" s="450" t="str">
        <f aca="false">IF(F21=0,"",IF((ABS(F21-F19))&gt;(0.2*F21),CONCATENATE("ATTENTION : écart entre rec. par grp (",F19," %) ","et",""),""))</f>
        <v>ATTENTION : écart entre rec. par grp (0 %) et</v>
      </c>
      <c r="F21" s="451" t="n">
        <f aca="false">B21+C21</f>
        <v>0.683</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63</v>
      </c>
      <c r="B23" s="475" t="n">
        <v>0.01</v>
      </c>
      <c r="C23" s="476"/>
      <c r="D23" s="477" t="str">
        <f aca="false">IF(ISERROR(VLOOKUP($A23,'liste reference'!$A$7:$D$904,2,0)),IF(ISERROR(VLOOKUP($A23,'liste reference'!$B$7:$D$904,1,0)),"",VLOOKUP($A23,'liste reference'!$B$7:$D$904,1,0)),VLOOKUP($A23,'liste reference'!$A$7:$D$904,2,0))</f>
        <v>Bangia sp.</v>
      </c>
      <c r="E23" s="477" t="e">
        <f aca="false">IF(D23="",0,VLOOKUP(D23,D$22:D22,1,0))</f>
        <v>#N/A</v>
      </c>
      <c r="F23" s="478" t="n">
        <f aca="false">($B23*$B$7+$C23*$C$7)/100</f>
        <v>0.0085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0.0085</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X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2.75" hidden="false" customHeight="false" outlineLevel="0" collapsed="false">
      <c r="A24" s="493" t="s">
        <v>122</v>
      </c>
      <c r="B24" s="494" t="n">
        <v>0.75</v>
      </c>
      <c r="C24" s="495" t="n">
        <v>0.05</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0.645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0.645</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130</v>
      </c>
      <c r="B25" s="494" t="n">
        <v>0.005</v>
      </c>
      <c r="C25" s="495"/>
      <c r="D25" s="477" t="str">
        <f aca="false">IF(ISERROR(VLOOKUP($A25,'liste reference'!$A$7:$D$904,2,0)),IF(ISERROR(VLOOKUP($A25,'liste reference'!$B$7:$D$904,1,0)),"",VLOOKUP($A25,'liste reference'!$B$7:$D$904,1,0)),VLOOKUP($A25,'liste reference'!$A$7:$D$904,2,0))</f>
        <v>Diatoma sp.</v>
      </c>
      <c r="E25" s="496" t="e">
        <f aca="false">IF(D25="",0,VLOOKUP(D25,D$22:D24,1,0))</f>
        <v>#N/A</v>
      </c>
      <c r="F25" s="497" t="n">
        <f aca="false">($B25*$B$7+$C25*$C$7)/100</f>
        <v>0.00425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Diatoma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6627</v>
      </c>
      <c r="Q25" s="486" t="n">
        <f aca="false">IF(ISTEXT(H25),"",(B25*$B$7/100)+(C25*$C$7/100))</f>
        <v>0.00425</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DIASPX</v>
      </c>
      <c r="Z25" s="280" t="n">
        <f aca="false">IF(ISERROR(MATCH(A25,'liste reference'!$A$8:$A$904,0)),IF(ISERROR(MATCH(A25,'liste reference'!$B$8:$B$904,0)),"",(MATCH(A25,'liste reference'!$B$8:$B$904,0))),(MATCH(A25,'liste reference'!$A$8:$A$904,0)))</f>
        <v>26</v>
      </c>
      <c r="AA25" s="491"/>
      <c r="AB25" s="492"/>
      <c r="AC25" s="492"/>
      <c r="BB25" s="280" t="n">
        <f aca="false">IF(A25="","",1)</f>
        <v>1</v>
      </c>
    </row>
    <row r="26" customFormat="false" ht="12.75" hidden="false" customHeight="false" outlineLevel="0" collapsed="false">
      <c r="A26" s="493" t="s">
        <v>228</v>
      </c>
      <c r="B26" s="494"/>
      <c r="C26" s="495" t="n">
        <v>0.005</v>
      </c>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0.00075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0.00075</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c r="AB26" s="492"/>
      <c r="AC26" s="492"/>
      <c r="BB26" s="280" t="n">
        <f aca="false">IF(A26="","",1)</f>
        <v>1</v>
      </c>
    </row>
    <row r="27" customFormat="false" ht="12.75" hidden="false" customHeight="false" outlineLevel="0" collapsed="false">
      <c r="A27" s="493" t="s">
        <v>258</v>
      </c>
      <c r="B27" s="494" t="n">
        <v>0.01</v>
      </c>
      <c r="C27" s="495" t="n">
        <v>0.05</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0.016</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0.016</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2685</v>
      </c>
      <c r="B28" s="494" t="n">
        <v>0.005</v>
      </c>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0.00425</v>
      </c>
      <c r="G28" s="479" t="str">
        <f aca="false">IF(A28="","",IF(ISERROR(VLOOKUP($A28,'liste reference'!$A$7:$P$904,13,0)),IF(ISERROR(VLOOKUP($A28,'liste reference'!$B$7:$P$904,12,0)),"    -",VLOOKUP($A28,'liste reference'!$B$7:$P$904,12,0)),VLOOKUP($A28,'liste reference'!$A$7:$P$904,13,0)))</f>
        <v>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Equisetum ramosissimum</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No</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NEWCOD</v>
      </c>
      <c r="Z28" s="280" t="str">
        <f aca="false">IF(ISERROR(MATCH(A28,'liste reference'!$A$8:$A$904,0)),IF(ISERROR(MATCH(A28,'liste reference'!$B$8:$B$904,0)),"",(MATCH(A28,'liste reference'!$B$8:$B$904,0))),(MATCH(A28,'liste reference'!$A$8:$A$904,0)))</f>
        <v/>
      </c>
      <c r="AA28" s="491"/>
      <c r="AB28" s="492" t="s">
        <v>2686</v>
      </c>
      <c r="AC28" s="492"/>
      <c r="BB28" s="280" t="n">
        <f aca="false">IF(A28="","",1)</f>
        <v>1</v>
      </c>
    </row>
    <row r="29" customFormat="false" ht="12.75" hidden="false" customHeight="false" outlineLevel="0" collapsed="false">
      <c r="A29" s="493" t="s">
        <v>2685</v>
      </c>
      <c r="B29" s="494" t="n">
        <v>0.005</v>
      </c>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0.00425</v>
      </c>
      <c r="G29" s="479" t="str">
        <f aca="false">IF(A29="","",IF(ISERROR(VLOOKUP($A29,'liste reference'!$A$7:$P$904,13,0)),IF(ISERROR(VLOOKUP($A29,'liste reference'!$B$7:$P$904,12,0)),"    -",VLOOKUP($A29,'liste reference'!$B$7:$P$904,12,0)),VLOOKUP($A29,'liste reference'!$A$7:$P$904,13,0)))</f>
        <v>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Possibilité Phormidium ou Oscillatoria</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No</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500"/>
      <c r="Y29" s="490" t="str">
        <f aca="false">IF(A29="new.cod","NEWCOD",IF(AND((Z29=""),ISTEXT(A29)),A29,IF(Z29="","",INDEX('liste reference'!$A$8:$A$904,Z29))))</f>
        <v>NEWCOD</v>
      </c>
      <c r="Z29" s="280" t="str">
        <f aca="false">IF(ISERROR(MATCH(A29,'liste reference'!$A$8:$A$904,0)),IF(ISERROR(MATCH(A29,'liste reference'!$B$8:$B$904,0)),"",(MATCH(A29,'liste reference'!$B$8:$B$904,0))),(MATCH(A29,'liste reference'!$A$8:$A$904,0)))</f>
        <v/>
      </c>
      <c r="AA29" s="491"/>
      <c r="AB29" s="492" t="s">
        <v>2687</v>
      </c>
      <c r="AC29" s="492"/>
      <c r="BB29" s="280" t="n">
        <f aca="false">IF(A29="","",1)</f>
        <v>1</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VAR</v>
      </c>
      <c r="B84" s="529" t="str">
        <f aca="false">C3</f>
        <v>Utelle</v>
      </c>
      <c r="C84" s="530" t="n">
        <f aca="false">A4</f>
        <v>41508</v>
      </c>
      <c r="D84" s="531" t="n">
        <f aca="false">IF(ISERROR(SUM($T$23:$T$82)/SUM($U$23:$U$82)),"",SUM($T$23:$T$82)/SUM($U$23:$U$82))</f>
        <v>10.2222222222222</v>
      </c>
      <c r="E84" s="532" t="n">
        <f aca="false">N13</f>
        <v>7</v>
      </c>
      <c r="F84" s="529" t="n">
        <f aca="false">N14</f>
        <v>5</v>
      </c>
      <c r="G84" s="529" t="n">
        <f aca="false">N15</f>
        <v>2</v>
      </c>
      <c r="H84" s="529" t="n">
        <f aca="false">N16</f>
        <v>3</v>
      </c>
      <c r="I84" s="529" t="n">
        <f aca="false">N17</f>
        <v>0</v>
      </c>
      <c r="J84" s="533" t="n">
        <f aca="false">N8</f>
        <v>10.2</v>
      </c>
      <c r="K84" s="531" t="n">
        <f aca="false">N9</f>
        <v>2.4</v>
      </c>
      <c r="L84" s="532" t="n">
        <f aca="false">N10</f>
        <v>6</v>
      </c>
      <c r="M84" s="532" t="n">
        <f aca="false">N11</f>
        <v>13</v>
      </c>
      <c r="N84" s="531" t="n">
        <f aca="false">O8</f>
        <v>1.6</v>
      </c>
      <c r="O84" s="531" t="n">
        <f aca="false">O9</f>
        <v>0.489897948556636</v>
      </c>
      <c r="P84" s="532" t="n">
        <f aca="false">O10</f>
        <v>1</v>
      </c>
      <c r="Q84" s="532" t="n">
        <f aca="false">O11</f>
        <v>2</v>
      </c>
      <c r="R84" s="532" t="n">
        <f aca="false">F21</f>
        <v>0.683</v>
      </c>
      <c r="S84" s="532" t="n">
        <f aca="false">K11</f>
        <v>0</v>
      </c>
      <c r="T84" s="532" t="n">
        <f aca="false">K12</f>
        <v>5</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13</v>
      </c>
      <c r="T87" s="280"/>
      <c r="U87" s="280"/>
      <c r="V87" s="280"/>
    </row>
    <row r="88" customFormat="false" ht="12.75" hidden="true" customHeight="false" outlineLevel="0" collapsed="false">
      <c r="P88" s="280"/>
      <c r="Q88" s="280" t="s">
        <v>2691</v>
      </c>
      <c r="R88" s="280"/>
      <c r="S88" s="488" t="n">
        <f aca="false">VLOOKUP((S87),($S$23:$U$82),2,0)</f>
        <v>26</v>
      </c>
      <c r="T88" s="280"/>
      <c r="U88" s="280"/>
      <c r="V88" s="280"/>
    </row>
    <row r="89" customFormat="false" ht="12.75" hidden="true" customHeight="false" outlineLevel="0" collapsed="false">
      <c r="Q89" s="280" t="s">
        <v>2692</v>
      </c>
      <c r="R89" s="280"/>
      <c r="S89" s="488" t="n">
        <f aca="false">VLOOKUP((S87),($S$23:$U$82),3,0)</f>
        <v>2</v>
      </c>
      <c r="T89" s="280"/>
    </row>
    <row r="90" customFormat="false" ht="12.75" hidden="false" customHeight="false" outlineLevel="0" collapsed="false">
      <c r="Q90" s="280" t="s">
        <v>2693</v>
      </c>
      <c r="R90" s="280"/>
      <c r="S90" s="538" t="n">
        <f aca="false">IF(ISERROR(SUM($T$23:$T$82)/SUM($U$23:$U$82)),"",(SUM($T$23:$T$82)-S88)/(SUM($U$23:$U$82)-S89))</f>
        <v>9.42857142857143</v>
      </c>
      <c r="T90" s="280"/>
    </row>
    <row r="91" customFormat="false" ht="12.75" hidden="false" customHeight="false" outlineLevel="0" collapsed="false">
      <c r="Q91" s="487" t="s">
        <v>2694</v>
      </c>
      <c r="R91" s="487"/>
      <c r="S91" s="487" t="str">
        <f aca="false">INDEX('liste reference'!$A$8:$A$904,$T$91)</f>
        <v>PHOSPX</v>
      </c>
      <c r="T91" s="280" t="n">
        <f aca="false">IF(ISERROR(MATCH($S$93,'liste reference'!$A$8:$A$904,0)),MATCH($S$93,'liste reference'!$B$8:$B$904,0),(MATCH($S$93,'liste reference'!$A$8:$A$904,0)))</f>
        <v>57</v>
      </c>
      <c r="U91" s="527"/>
    </row>
    <row r="92" customFormat="false" ht="12.75" hidden="false" customHeight="false" outlineLevel="0" collapsed="false">
      <c r="Q92" s="280" t="s">
        <v>2695</v>
      </c>
      <c r="R92" s="280"/>
      <c r="S92" s="280" t="n">
        <f aca="false">MATCH(S87,$S$23:$S$82,0)</f>
        <v>4</v>
      </c>
      <c r="T92" s="280"/>
    </row>
    <row r="93" customFormat="false" ht="12.75" hidden="false" customHeight="false" outlineLevel="0" collapsed="false">
      <c r="Q93" s="487" t="s">
        <v>2696</v>
      </c>
      <c r="R93" s="280"/>
      <c r="S93" s="487" t="str">
        <f aca="false">INDEX($A$23:$A$82,$S$92)</f>
        <v>PHOSPX</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2711</v>
      </c>
      <c r="G18" s="577"/>
      <c r="H18" s="576" t="s">
        <v>2711</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2718</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2013-01-10T22:36:43Z</cp:lastPrinted>
  <dcterms:modified xsi:type="dcterms:W3CDTF">2014-04-09T10:52:58Z</dcterms:modified>
  <cp:revision>0</cp:revision>
  <dc:subject/>
  <dc:title>Feuille d'aide au calcul de l'IBMR</dc:title>
</cp:coreProperties>
</file>